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worksheets/sheet6.xml" ContentType="application/vnd.openxmlformats-officedocument.spreadsheetml.worksheet+xml"/>
  <Override PartName="/xl/drawings/drawing2.xml" ContentType="application/vnd.openxmlformats-officedocument.drawing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араметры" sheetId="1" state="visible" r:id="rId1"/>
    <sheet xmlns:r="http://schemas.openxmlformats.org/officeDocument/2006/relationships" name="Инвестиции" sheetId="2" state="visible" r:id="rId2"/>
    <sheet xmlns:r="http://schemas.openxmlformats.org/officeDocument/2006/relationships" name="Выручка" sheetId="3" state="visible" r:id="rId3"/>
    <sheet xmlns:r="http://schemas.openxmlformats.org/officeDocument/2006/relationships" name="Расходы" sheetId="4" state="visible" r:id="rId4"/>
    <sheet xmlns:r="http://schemas.openxmlformats.org/officeDocument/2006/relationships" name="Окупаемость" sheetId="5" state="visible" r:id="rId5"/>
    <sheet xmlns:r="http://schemas.openxmlformats.org/officeDocument/2006/relationships" name="P&amp;L" sheetId="6" state="visible" r:id="rId6"/>
    <sheet xmlns:r="http://schemas.openxmlformats.org/officeDocument/2006/relationships" name="Сценарии" sheetId="7" state="visible" r:id="rId7"/>
    <sheet xmlns:r="http://schemas.openxmlformats.org/officeDocument/2006/relationships" name="Чек-лист запуска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#,##0 \₽;-#,##0 \₽;-"/>
    <numFmt numFmtId="165" formatCode="#,##0;-#,##0;-"/>
    <numFmt numFmtId="166" formatCode="0.0%"/>
    <numFmt numFmtId="167" formatCode="0.0"/>
  </numFmts>
  <fonts count="8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color rgb="00666666"/>
      <sz val="9"/>
    </font>
    <font>
      <name val="Arial"/>
      <b val="1"/>
      <sz val="10"/>
    </font>
    <font>
      <name val="Arial"/>
      <color rgb="000000FF"/>
      <sz val="10"/>
    </font>
    <font>
      <name val="Arial"/>
      <sz val="10"/>
    </font>
    <font>
      <name val="Arial"/>
      <color rgb="00008000"/>
      <sz val="10"/>
    </font>
    <font>
      <name val="Arial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FFFF00"/>
      </patternFill>
    </fill>
    <fill>
      <patternFill patternType="solid">
        <fgColor rgb="00F2F2F2"/>
      </patternFill>
    </fill>
    <fill>
      <patternFill patternType="solid">
        <fgColor rgb="002E3A46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4" fillId="2" borderId="1" pivotButton="0" quotePrefix="0" xfId="0"/>
    <xf numFmtId="0" fontId="5" fillId="0" borderId="0" pivotButton="0" quotePrefix="0" xfId="0"/>
    <xf numFmtId="0" fontId="6" fillId="0" borderId="0" pivotButton="0" quotePrefix="0" xfId="0"/>
    <xf numFmtId="0" fontId="3" fillId="3" borderId="0" pivotButton="0" quotePrefix="0" xfId="0"/>
    <xf numFmtId="0" fontId="5" fillId="3" borderId="0" pivotButton="0" quotePrefix="0" xfId="0"/>
    <xf numFmtId="164" fontId="4" fillId="2" borderId="1" pivotButton="0" quotePrefix="0" xfId="0"/>
    <xf numFmtId="165" fontId="4" fillId="2" borderId="1" pivotButton="0" quotePrefix="0" xfId="0"/>
    <xf numFmtId="166" fontId="4" fillId="2" borderId="1" pivotButton="0" quotePrefix="0" xfId="0"/>
    <xf numFmtId="0" fontId="7" fillId="4" borderId="1" applyAlignment="1" pivotButton="0" quotePrefix="0" xfId="0">
      <alignment horizontal="center" vertical="center" wrapText="1"/>
    </xf>
    <xf numFmtId="164" fontId="5" fillId="0" borderId="1" pivotButton="0" quotePrefix="0" xfId="0"/>
    <xf numFmtId="164" fontId="3" fillId="3" borderId="1" pivotButton="0" quotePrefix="0" xfId="0"/>
    <xf numFmtId="165" fontId="6" fillId="0" borderId="1" pivotButton="0" quotePrefix="0" xfId="0"/>
    <xf numFmtId="165" fontId="5" fillId="3" borderId="1" pivotButton="0" quotePrefix="0" xfId="0"/>
    <xf numFmtId="164" fontId="5" fillId="3" borderId="1" pivotButton="0" quotePrefix="0" xfId="0"/>
    <xf numFmtId="166" fontId="5" fillId="0" borderId="1" pivotButton="0" quotePrefix="0" xfId="0"/>
    <xf numFmtId="164" fontId="6" fillId="0" borderId="1" pivotButton="0" quotePrefix="0" xfId="0"/>
    <xf numFmtId="166" fontId="3" fillId="3" borderId="1" pivotButton="0" quotePrefix="0" xfId="0"/>
    <xf numFmtId="166" fontId="6" fillId="0" borderId="1" pivotButton="0" quotePrefix="0" xfId="0"/>
    <xf numFmtId="165" fontId="5" fillId="0" borderId="1" pivotButton="0" quotePrefix="0" xfId="0"/>
    <xf numFmtId="167" fontId="3" fillId="3" borderId="1" pivotButton="0" quotePrefix="0" xfId="0"/>
    <xf numFmtId="165" fontId="5" fillId="0" borderId="0" pivotButton="0" quotePrefix="0" xfId="0"/>
    <xf numFmtId="164" fontId="5" fillId="0" borderId="0" pivotButton="0" quotePrefix="0" xfId="0"/>
    <xf numFmtId="167" fontId="5" fillId="0" borderId="0" pivotButton="0" quotePrefix="0" xfId="0"/>
    <xf numFmtId="0" fontId="4" fillId="2" borderId="1" applyAlignment="1" pivotButton="0" quotePrefix="0" xfId="0">
      <alignment horizontal="center"/>
    </xf>
    <xf numFmtId="165" fontId="3" fillId="3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Точка безубыточности</a:t>
            </a:r>
          </a:p>
        </rich>
      </tx>
    </title>
    <plotArea>
      <lineChart>
        <grouping val="standard"/>
        <ser>
          <idx val="0"/>
          <order val="0"/>
          <tx>
            <strRef>
              <f>'Окупаемость'!B19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'Окупаемость'!$A$20:$A$30</f>
            </numRef>
          </cat>
          <val>
            <numRef>
              <f>'Окупаемость'!$B$20:$B$30</f>
            </numRef>
          </val>
        </ser>
        <ser>
          <idx val="1"/>
          <order val="1"/>
          <tx>
            <strRef>
              <f>'Окупаемость'!C19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'Окупаемость'!$A$20:$A$30</f>
            </numRef>
          </cat>
          <val>
            <numRef>
              <f>'Окупаемость'!$C$20:$C$30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Чеков в день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₽ в месяц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Накопительный возврат инвестиций</a:t>
            </a:r>
          </a:p>
        </rich>
      </tx>
    </title>
    <plotArea>
      <lineChart>
        <grouping val="standard"/>
        <ser>
          <idx val="0"/>
          <order val="0"/>
          <tx>
            <strRef>
              <f>'P&amp;L'!I4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'P&amp;L'!$A$5:$A$28</f>
            </numRef>
          </cat>
          <val>
            <numRef>
              <f>'P&amp;L'!$I$5:$I$28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Месяц работы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₽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_rels/drawing2.xml.rels><Relationships xmlns="http://schemas.openxmlformats.org/package/2006/relationships"><Relationship Type="http://schemas.openxmlformats.org/officeDocument/2006/relationships/chart" Target="/xl/charts/chart2.xml" Id="rId1"/></Relationships>
</file>

<file path=xl/drawings/drawing1.xml><?xml version="1.0" encoding="utf-8"?>
<wsDr xmlns="http://schemas.openxmlformats.org/drawingml/2006/spreadsheetDrawing">
  <oneCellAnchor>
    <from>
      <col>5</col>
      <colOff>0</colOff>
      <row>18</row>
      <rowOff>0</rowOff>
    </from>
    <ext cx="648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drawings/drawing2.xml><?xml version="1.0" encoding="utf-8"?>
<wsDr xmlns="http://schemas.openxmlformats.org/drawingml/2006/spreadsheetDrawing">
  <oneCellAnchor>
    <from>
      <col>10</col>
      <colOff>0</colOff>
      <row>3</row>
      <rowOff>0</rowOff>
    </from>
    <ext cx="720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6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16" customWidth="1" min="2" max="2"/>
    <col width="60" customWidth="1" min="3" max="3"/>
  </cols>
  <sheetData>
    <row r="1">
      <c r="A1" s="1" t="inlineStr">
        <is>
          <t>Параметры модели</t>
        </is>
      </c>
    </row>
    <row r="2">
      <c r="A2" s="2" t="inlineStr">
        <is>
          <t>Жёлтые ячейки с синим шрифтом — то, что вы меняете под свой проект. Остальные листы пересчитаются сами.</t>
        </is>
      </c>
    </row>
    <row r="4">
      <c r="A4" s="3" t="inlineStr">
        <is>
          <t>ЛЕГЕНДА</t>
        </is>
      </c>
    </row>
    <row r="5">
      <c r="A5" s="4" t="inlineStr">
        <is>
          <t>синий шрифт на жёлтом — сюда вводите свои цифры</t>
        </is>
      </c>
      <c r="B5" s="5" t="inlineStr"/>
    </row>
    <row r="6">
      <c r="A6" s="6" t="inlineStr">
        <is>
          <t>чёрный шрифт — формула, не трогать</t>
        </is>
      </c>
    </row>
    <row r="7">
      <c r="A7" s="7" t="inlineStr">
        <is>
          <t>зелёный шрифт — ссылка на другой лист</t>
        </is>
      </c>
    </row>
    <row r="9">
      <c r="A9" s="8" t="inlineStr">
        <is>
          <t>ТРАФИК И ЧЕК</t>
        </is>
      </c>
      <c r="B9" s="9" t="inlineStr"/>
      <c r="C9" s="9" t="inlineStr"/>
    </row>
    <row r="10">
      <c r="A10" s="6" t="inlineStr">
        <is>
          <t>Средний чек, ₽</t>
        </is>
      </c>
      <c r="B10" s="10" t="n">
        <v>320</v>
      </c>
      <c r="C10" s="2" t="inlineStr">
        <is>
          <t>Статья: 310–330 ₽ для формата to go в миллионнике</t>
        </is>
      </c>
    </row>
    <row r="11">
      <c r="A11" s="6" t="inlineStr">
        <is>
          <t>Чеков в будний день, старт</t>
        </is>
      </c>
      <c r="B11" s="11" t="n">
        <v>65</v>
      </c>
      <c r="C11" s="2" t="inlineStr">
        <is>
          <t>Первый месяц работы, период раскрутки</t>
        </is>
      </c>
    </row>
    <row r="12">
      <c r="A12" s="6" t="inlineStr">
        <is>
          <t>Чеков в выходной день, старт</t>
        </is>
      </c>
      <c r="B12" s="11" t="n">
        <v>50</v>
      </c>
      <c r="C12" s="2" t="inlineStr">
        <is>
          <t>Первый месяц работы</t>
        </is>
      </c>
    </row>
    <row r="13">
      <c r="A13" s="6" t="inlineStr">
        <is>
          <t>Чеков в будний день, план</t>
        </is>
      </c>
      <c r="B13" s="11" t="n">
        <v>90</v>
      </c>
      <c r="C13" s="2" t="inlineStr">
        <is>
          <t>После набора постоянных гостей, 3–4-й месяц</t>
        </is>
      </c>
    </row>
    <row r="14">
      <c r="A14" s="6" t="inlineStr">
        <is>
          <t>Чеков в выходной день, план</t>
        </is>
      </c>
      <c r="B14" s="11" t="n">
        <v>65</v>
      </c>
      <c r="C14" s="2" t="inlineStr">
        <is>
          <t>После набора постоянных гостей</t>
        </is>
      </c>
    </row>
    <row r="15">
      <c r="A15" s="6" t="inlineStr">
        <is>
          <t>Будних дней в месяце</t>
        </is>
      </c>
      <c r="B15" s="11" t="n">
        <v>22</v>
      </c>
    </row>
    <row r="16">
      <c r="A16" s="6" t="inlineStr">
        <is>
          <t>Выходных дней в месяце</t>
        </is>
      </c>
      <c r="B16" s="11" t="n">
        <v>8</v>
      </c>
    </row>
    <row r="17">
      <c r="A17" s="6" t="inlineStr">
        <is>
          <t>Месяц выхода на плановый трафик</t>
        </is>
      </c>
      <c r="B17" s="11" t="n">
        <v>4</v>
      </c>
      <c r="C17" s="2" t="inlineStr">
        <is>
          <t>Статья: выход на план к 3–4-му месяцу</t>
        </is>
      </c>
    </row>
    <row r="18">
      <c r="A18" s="8" t="inlineStr">
        <is>
          <t>РАСХОДЫ</t>
        </is>
      </c>
      <c r="B18" s="9" t="inlineStr"/>
      <c r="C18" s="9" t="inlineStr"/>
    </row>
    <row r="19">
      <c r="A19" s="6" t="inlineStr">
        <is>
          <t>Фудкост (сырьё и упаковка), % выручки</t>
        </is>
      </c>
      <c r="B19" s="12" t="n">
        <v>0.3</v>
      </c>
      <c r="C19" s="2" t="inlineStr">
        <is>
          <t>Статья: 28–32% для кофейни</t>
        </is>
      </c>
    </row>
    <row r="20">
      <c r="A20" s="6" t="inlineStr">
        <is>
          <t>Аренда, ₽/мес</t>
        </is>
      </c>
      <c r="B20" s="10" t="n">
        <v>130000</v>
      </c>
      <c r="C20" s="2" t="inlineStr">
        <is>
          <t>Статья: 80 000–150 000 ₽. Здоровая доля — до 15% выручки</t>
        </is>
      </c>
    </row>
    <row r="21">
      <c r="A21" s="6" t="inlineStr">
        <is>
          <t>ФОТ с налогами и взносами, ₽/мес</t>
        </is>
      </c>
      <c r="B21" s="10" t="n">
        <v>185000</v>
      </c>
      <c r="C21" s="2" t="inlineStr">
        <is>
          <t>Статья: 130 000–200 000 ₽ на 2 бариста</t>
        </is>
      </c>
    </row>
    <row r="22">
      <c r="A22" s="6" t="inlineStr">
        <is>
          <t>Коммунальные услуги и интернет, ₽/мес</t>
        </is>
      </c>
      <c r="B22" s="10" t="n">
        <v>22000</v>
      </c>
      <c r="C22" s="2" t="inlineStr">
        <is>
          <t>Статья: 15 000–25 000 ₽</t>
        </is>
      </c>
    </row>
    <row r="23">
      <c r="A23" s="6" t="inlineStr">
        <is>
          <t>Маркетинг, ₽/мес</t>
        </is>
      </c>
      <c r="B23" s="10" t="n">
        <v>55000</v>
      </c>
      <c r="C23" s="2" t="inlineStr">
        <is>
          <t>Статья: 30 000–60 000 ₽</t>
        </is>
      </c>
    </row>
    <row r="24">
      <c r="A24" s="6" t="inlineStr">
        <is>
          <t>Налоги (УСН «доходы»), % выручки</t>
        </is>
      </c>
      <c r="B24" s="12" t="n">
        <v>0.06</v>
      </c>
      <c r="C24" s="2" t="inlineStr">
        <is>
          <t>Статья: УСН 6% — оптимальная форма для первой кофейни</t>
        </is>
      </c>
    </row>
    <row r="25">
      <c r="A25" s="6" t="inlineStr">
        <is>
          <t>Прочие расходы, ₽/мес</t>
        </is>
      </c>
      <c r="B25" s="10" t="n">
        <v>40000</v>
      </c>
      <c r="C25" s="2" t="inlineStr">
        <is>
          <t>Статья: 20 000–40 000 ₽</t>
        </is>
      </c>
    </row>
    <row r="26">
      <c r="A26" s="8" t="inlineStr">
        <is>
          <t>СЕЗОННОСТЬ</t>
        </is>
      </c>
      <c r="B26" s="9" t="inlineStr"/>
      <c r="C26" s="9" t="inlineStr"/>
    </row>
    <row r="27">
      <c r="A27" s="6" t="inlineStr">
        <is>
          <t>Летний спад выручки, %</t>
        </is>
      </c>
      <c r="B27" s="12" t="n">
        <v>0.3</v>
      </c>
      <c r="C27" s="2" t="inlineStr">
        <is>
          <t>Статья: 20–40% в зависимости от климата региона</t>
        </is>
      </c>
    </row>
    <row r="28">
      <c r="A28" s="6" t="inlineStr">
        <is>
          <t>Календарный месяц старта (1–12)</t>
        </is>
      </c>
      <c r="B28" s="11" t="n">
        <v>3</v>
      </c>
      <c r="C28" s="2" t="inlineStr">
        <is>
          <t>3 = март. Нужен, чтобы спад лёг на июнь–август</t>
        </is>
      </c>
    </row>
    <row r="30">
      <c r="A30" s="2" t="inlineStr">
        <is>
          <t>Источник всех вилок — статья «Бизнес-план кофейни с нуля» на horecaexperts.ru.</t>
        </is>
      </c>
    </row>
    <row r="31">
      <c r="A31" s="2" t="inlineStr">
        <is>
          <t>Значения по умолчанию подобраны внутри этих вилок. Подставьте цены своего города.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showGridLines="0" workbookViewId="0">
      <selection activeCell="A1" sqref="A1"/>
    </sheetView>
  </sheetViews>
  <sheetFormatPr baseColWidth="8" defaultRowHeight="15"/>
  <cols>
    <col width="44" customWidth="1" min="1" max="1"/>
    <col width="16" customWidth="1" min="2" max="2"/>
    <col width="16" customWidth="1" min="3" max="3"/>
    <col width="20" customWidth="1" min="4" max="4"/>
    <col width="54" customWidth="1" min="5" max="5"/>
  </cols>
  <sheetData>
    <row r="1">
      <c r="A1" s="1" t="inlineStr">
        <is>
          <t>Стартовые инвестиции</t>
        </is>
      </c>
    </row>
    <row r="2">
      <c r="A2" s="2" t="inlineStr">
        <is>
          <t>Меняйте колонку «Принято в расчёт». Минимум и максимум даны как ориентир из статьи.</t>
        </is>
      </c>
    </row>
    <row r="4" ht="30" customHeight="1">
      <c r="A4" s="13" t="inlineStr">
        <is>
          <t>Статья</t>
        </is>
      </c>
      <c r="B4" s="13" t="inlineStr">
        <is>
          <t>Минимум, ₽</t>
        </is>
      </c>
      <c r="C4" s="13" t="inlineStr">
        <is>
          <t>Максимум, ₽</t>
        </is>
      </c>
      <c r="D4" s="13" t="inlineStr">
        <is>
          <t>Принято в расчёт, ₽</t>
        </is>
      </c>
      <c r="E4" s="13" t="inlineStr">
        <is>
          <t>Комментарий</t>
        </is>
      </c>
    </row>
    <row r="5">
      <c r="A5" s="6" t="inlineStr">
        <is>
          <t>Ремонт, отделка, дизайн-проект</t>
        </is>
      </c>
      <c r="B5" s="14" t="n">
        <v>400000</v>
      </c>
      <c r="C5" s="14" t="n">
        <v>700000</v>
      </c>
      <c r="D5" s="10" t="n">
        <v>500000</v>
      </c>
      <c r="E5" s="2" t="inlineStr">
        <is>
          <t>Вентиляция, электрика 15–30 кВт, отделка, вывеска</t>
        </is>
      </c>
    </row>
    <row r="6">
      <c r="A6" s="6" t="inlineStr">
        <is>
          <t>Оборудование</t>
        </is>
      </c>
      <c r="B6" s="14" t="n">
        <v>800000</v>
      </c>
      <c r="C6" s="14" t="n">
        <v>1200000</v>
      </c>
      <c r="D6" s="10" t="n">
        <v>900000</v>
      </c>
      <c r="E6" s="2" t="inlineStr">
        <is>
          <t>Кофемашина, кофемолка, холодильник, касса, POS, барная стойка</t>
        </is>
      </c>
    </row>
    <row r="7">
      <c r="A7" s="6" t="inlineStr">
        <is>
          <t>Первая закупка сырья и расходников</t>
        </is>
      </c>
      <c r="B7" s="14" t="n">
        <v>150000</v>
      </c>
      <c r="C7" s="14" t="n">
        <v>250000</v>
      </c>
      <c r="D7" s="10" t="n">
        <v>200000</v>
      </c>
      <c r="E7" s="2" t="inlineStr">
        <is>
          <t>Зерно, молоко, сиропы, стаканы, крышки, салфетки</t>
        </is>
      </c>
    </row>
    <row r="8">
      <c r="A8" s="6" t="inlineStr">
        <is>
          <t>Юридическое оформление, документы</t>
        </is>
      </c>
      <c r="B8" s="14" t="n">
        <v>50000</v>
      </c>
      <c r="C8" s="14" t="n">
        <v>100000</v>
      </c>
      <c r="D8" s="10" t="n">
        <v>75000</v>
      </c>
      <c r="E8" s="2" t="inlineStr">
        <is>
          <t>ИП/ООО, СЭС, пожарная, онлайн-касса, Роспотребнадзор</t>
        </is>
      </c>
    </row>
    <row r="9">
      <c r="A9" s="6" t="inlineStr">
        <is>
          <t>Маркетинг на запуск</t>
        </is>
      </c>
      <c r="B9" s="14" t="n">
        <v>100000</v>
      </c>
      <c r="C9" s="14" t="n">
        <v>200000</v>
      </c>
      <c r="D9" s="10" t="n">
        <v>125000</v>
      </c>
      <c r="E9" s="2" t="inlineStr">
        <is>
          <t>Вывеска, соцсети, геосервисы, акции первой недели</t>
        </is>
      </c>
    </row>
    <row r="10">
      <c r="A10" s="6" t="inlineStr">
        <is>
          <t>Обеспечительный платёж по аренде</t>
        </is>
      </c>
      <c r="B10" s="14" t="n">
        <v>150000</v>
      </c>
      <c r="C10" s="14" t="n">
        <v>300000</v>
      </c>
      <c r="D10" s="10" t="n">
        <v>200000</v>
      </c>
      <c r="E10" s="2" t="inlineStr">
        <is>
          <t>Обычно 2 месяца аренды вперёд плюс депозит</t>
        </is>
      </c>
    </row>
    <row r="11">
      <c r="A11" s="6" t="inlineStr">
        <is>
          <t>Резервный фонд (3 месяца)</t>
        </is>
      </c>
      <c r="B11" s="14" t="n">
        <v>400000</v>
      </c>
      <c r="C11" s="14" t="n">
        <v>700000</v>
      </c>
      <c r="D11" s="10" t="n">
        <v>400000</v>
      </c>
      <c r="E11" s="2" t="inlineStr">
        <is>
          <t>Покрытие убытков первых месяцев. Обязателен</t>
        </is>
      </c>
    </row>
    <row r="12">
      <c r="A12" s="3" t="inlineStr">
        <is>
          <t>ИТОГО инвестиций</t>
        </is>
      </c>
      <c r="B12" s="15">
        <f>SUM(B5:B11)</f>
        <v/>
      </c>
      <c r="C12" s="15">
        <f>SUM(C5:C11)</f>
        <v/>
      </c>
      <c r="D12" s="15">
        <f>SUM(D5:D11)</f>
        <v/>
      </c>
      <c r="E12" s="2" t="inlineStr">
        <is>
          <t>Статья: 2 050 000 — 3 450 000 ₽, средняя реалистичная 2,4 млн ₽</t>
        </is>
      </c>
    </row>
    <row r="14">
      <c r="A14" s="2" t="inlineStr">
        <is>
          <t>Сумма по умолчанию равна 2 400 000 ₽ — той самой «средней реалистичной» цифре из статьи.</t>
        </is>
      </c>
    </row>
    <row r="15">
      <c r="A15" s="2" t="inlineStr">
        <is>
          <t>Достаточность резервного фонда проверяется на листе «Окупаемость».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3"/>
  <sheetViews>
    <sheetView showGridLines="0"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8" customWidth="1" min="3" max="3"/>
    <col width="54" customWidth="1" min="4" max="4"/>
  </cols>
  <sheetData>
    <row r="1">
      <c r="A1" s="1" t="inlineStr">
        <is>
          <t>Прогноз выручки</t>
        </is>
      </c>
    </row>
    <row r="2">
      <c r="A2" s="2" t="inlineStr">
        <is>
          <t>Формула: чеков в день × средний чек × число дней, раздельно по будням и выходным.</t>
        </is>
      </c>
    </row>
    <row r="4" ht="30" customHeight="1">
      <c r="A4" s="13" t="inlineStr">
        <is>
          <t>Показатель</t>
        </is>
      </c>
      <c r="B4" s="13" t="inlineStr">
        <is>
          <t>Старт (1-й месяц)</t>
        </is>
      </c>
      <c r="C4" s="13" t="inlineStr">
        <is>
          <t>План (с 4-го месяца)</t>
        </is>
      </c>
      <c r="D4" s="13" t="inlineStr">
        <is>
          <t>Комментарий</t>
        </is>
      </c>
    </row>
    <row r="5">
      <c r="A5" s="6" t="inlineStr">
        <is>
          <t>Чеков в будни за месяц</t>
        </is>
      </c>
      <c r="B5" s="16">
        <f>Параметры!$B$15*Параметры!$B$11</f>
        <v/>
      </c>
      <c r="C5" s="16">
        <f>Параметры!$B$15*Параметры!$B$13</f>
        <v/>
      </c>
      <c r="D5" s="2" t="inlineStr">
        <is>
          <t>Будних дней × чеков в день</t>
        </is>
      </c>
    </row>
    <row r="6">
      <c r="A6" s="6" t="inlineStr">
        <is>
          <t>Чеков в выходные за месяц</t>
        </is>
      </c>
      <c r="B6" s="16">
        <f>Параметры!$B$16*Параметры!$B$12</f>
        <v/>
      </c>
      <c r="C6" s="16">
        <f>Параметры!$B$16*Параметры!$B$14</f>
        <v/>
      </c>
      <c r="D6" s="2" t="inlineStr">
        <is>
          <t>Выходных дней × чеков в день</t>
        </is>
      </c>
    </row>
    <row r="7">
      <c r="A7" s="3" t="inlineStr">
        <is>
          <t>Всего чеков за месяц</t>
        </is>
      </c>
      <c r="B7" s="17">
        <f>B5+B6</f>
        <v/>
      </c>
      <c r="C7" s="17">
        <f>C5+C6</f>
        <v/>
      </c>
    </row>
    <row r="8">
      <c r="A8" s="3" t="inlineStr">
        <is>
          <t>Выручка за месяц, ₽</t>
        </is>
      </c>
      <c r="B8" s="18">
        <f>B7*Параметры!$B$10</f>
        <v/>
      </c>
      <c r="C8" s="18">
        <f>C7*Параметры!$B$10</f>
        <v/>
      </c>
      <c r="D8" s="2" t="inlineStr">
        <is>
          <t>Статья: 585 600 ₽ в 1-й месяц, 800 000 ₽ с 3–4-го</t>
        </is>
      </c>
    </row>
    <row r="10">
      <c r="A10" s="8" t="inlineStr">
        <is>
          <t>МАРЖИНАЛЬНОСТЬ (на плановой выручке)</t>
        </is>
      </c>
      <c r="B10" s="9" t="inlineStr"/>
    </row>
    <row r="11">
      <c r="A11" s="6" t="inlineStr">
        <is>
          <t>Себестоимость сырья, ₽</t>
        </is>
      </c>
      <c r="B11" s="14">
        <f>Выручка!$C$8*Параметры!$B$19</f>
        <v/>
      </c>
    </row>
    <row r="12">
      <c r="A12" s="6" t="inlineStr">
        <is>
          <t>Валовая прибыль, ₽</t>
        </is>
      </c>
      <c r="B12" s="14">
        <f>Выручка!$C$8-B11</f>
        <v/>
      </c>
    </row>
    <row r="13">
      <c r="A13" s="6" t="inlineStr">
        <is>
          <t>Валовая маржа, %</t>
        </is>
      </c>
      <c r="B13" s="19">
        <f>IF(Выручка!$C$8=0,0,B12/Выручка!$C$8)</f>
        <v/>
      </c>
      <c r="D13" s="2" t="inlineStr">
        <is>
          <t>Статья: 68–75% по напиткам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4"/>
  <sheetViews>
    <sheetView showGridLines="0"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6" customWidth="1" min="3" max="3"/>
    <col width="54" customWidth="1" min="4" max="4"/>
  </cols>
  <sheetData>
    <row r="1">
      <c r="A1" s="1" t="inlineStr">
        <is>
          <t>Ежемесячные операционные расходы</t>
        </is>
      </c>
    </row>
    <row r="2">
      <c r="A2" s="2" t="inlineStr">
        <is>
          <t>Считается от параметров и плановой выручки. Меняйте цифры на листе «Параметры».</t>
        </is>
      </c>
    </row>
    <row r="4" ht="30" customHeight="1">
      <c r="A4" s="13" t="inlineStr">
        <is>
          <t>Статья</t>
        </is>
      </c>
      <c r="B4" s="13" t="inlineStr">
        <is>
          <t>Сумма, ₽/мес</t>
        </is>
      </c>
      <c r="C4" s="13" t="inlineStr">
        <is>
          <t>Доля выручки</t>
        </is>
      </c>
      <c r="D4" s="13" t="inlineStr">
        <is>
          <t>Ориентир из статьи</t>
        </is>
      </c>
    </row>
    <row r="5">
      <c r="A5" s="6" t="inlineStr">
        <is>
          <t>Аренда помещения</t>
        </is>
      </c>
      <c r="B5" s="20">
        <f>Параметры!$B$20</f>
        <v/>
      </c>
      <c r="C5" s="19">
        <f>IF(Выручка!$C$8=0,0,B5/Выручка!$C$8)</f>
        <v/>
      </c>
      <c r="D5" s="2" t="inlineStr">
        <is>
          <t>12–18%, здоровая доля до 15%</t>
        </is>
      </c>
    </row>
    <row r="6">
      <c r="A6" s="6" t="inlineStr">
        <is>
          <t>ФОТ: 2 бариста с налогами</t>
        </is>
      </c>
      <c r="B6" s="20">
        <f>Параметры!$B$21</f>
        <v/>
      </c>
      <c r="C6" s="19">
        <f>IF(Выручка!$C$8=0,0,B6/Выручка!$C$8)</f>
        <v/>
      </c>
      <c r="D6" s="2" t="inlineStr">
        <is>
          <t>20–25%</t>
        </is>
      </c>
    </row>
    <row r="7">
      <c r="A7" s="6" t="inlineStr">
        <is>
          <t>Сырьё и упаковка</t>
        </is>
      </c>
      <c r="B7" s="20">
        <f>Выручка!$C$8*Параметры!$B$19</f>
        <v/>
      </c>
      <c r="C7" s="19">
        <f>IF(Выручка!$C$8=0,0,B7/Выручка!$C$8)</f>
        <v/>
      </c>
      <c r="D7" s="2" t="inlineStr">
        <is>
          <t>28–32%</t>
        </is>
      </c>
    </row>
    <row r="8">
      <c r="A8" s="6" t="inlineStr">
        <is>
          <t>Коммунальные услуги, интернет</t>
        </is>
      </c>
      <c r="B8" s="20">
        <f>Параметры!$B$22</f>
        <v/>
      </c>
      <c r="C8" s="19">
        <f>IF(Выручка!$C$8=0,0,B8/Выручка!$C$8)</f>
        <v/>
      </c>
      <c r="D8" s="2" t="inlineStr">
        <is>
          <t>3–4%</t>
        </is>
      </c>
    </row>
    <row r="9">
      <c r="A9" s="6" t="inlineStr">
        <is>
          <t>Маркетинг и продвижение</t>
        </is>
      </c>
      <c r="B9" s="20">
        <f>Параметры!$B$23</f>
        <v/>
      </c>
      <c r="C9" s="19">
        <f>IF(Выручка!$C$8=0,0,B9/Выручка!$C$8)</f>
        <v/>
      </c>
      <c r="D9" s="2" t="inlineStr">
        <is>
          <t>5–8%</t>
        </is>
      </c>
    </row>
    <row r="10">
      <c r="A10" s="6" t="inlineStr">
        <is>
          <t>Налоги (УСН «доходы»)</t>
        </is>
      </c>
      <c r="B10" s="20">
        <f>Выручка!$C$8*Параметры!$B$24</f>
        <v/>
      </c>
      <c r="C10" s="19">
        <f>IF(Выручка!$C$8=0,0,B10/Выручка!$C$8)</f>
        <v/>
      </c>
      <c r="D10" s="2" t="inlineStr">
        <is>
          <t>6–10%</t>
        </is>
      </c>
    </row>
    <row r="11">
      <c r="A11" s="6" t="inlineStr">
        <is>
          <t>Прочие расходы</t>
        </is>
      </c>
      <c r="B11" s="20">
        <f>Параметры!$B$25</f>
        <v/>
      </c>
      <c r="C11" s="19">
        <f>IF(Выручка!$C$8=0,0,B11/Выручка!$C$8)</f>
        <v/>
      </c>
      <c r="D11" s="2" t="inlineStr">
        <is>
          <t>3–5%</t>
        </is>
      </c>
    </row>
    <row r="12">
      <c r="A12" s="3" t="inlineStr">
        <is>
          <t>ИТОГО расходов</t>
        </is>
      </c>
      <c r="B12" s="15">
        <f>SUM(B5:B11)</f>
        <v/>
      </c>
      <c r="C12" s="21">
        <f>IF(Выручка!$C$8=0,0,B12/Выручка!$C$8)</f>
        <v/>
      </c>
      <c r="D12" s="2" t="inlineStr">
        <is>
          <t>Статья: 485 000 — 845 000 ₽, около 85–95% выручки</t>
        </is>
      </c>
    </row>
    <row r="14">
      <c r="A14" s="3" t="inlineStr">
        <is>
          <t>Постоянные расходы (без сырья), ₽/мес</t>
        </is>
      </c>
      <c r="B14" s="14">
        <f>SUM(B5:B11)-B7</f>
        <v/>
      </c>
      <c r="D14" s="2" t="inlineStr">
        <is>
          <t>Используется в расчёте точки безубыточности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30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  <col width="4" customWidth="1" min="3" max="3"/>
    <col width="50" customWidth="1" min="4" max="4"/>
  </cols>
  <sheetData>
    <row r="1">
      <c r="A1" s="1" t="inlineStr">
        <is>
          <t>Точка безубыточности и срок окупаемости</t>
        </is>
      </c>
    </row>
    <row r="3" ht="30" customHeight="1">
      <c r="A3" s="13" t="inlineStr">
        <is>
          <t>Показатель</t>
        </is>
      </c>
      <c r="B3" s="13" t="inlineStr">
        <is>
          <t>Значение</t>
        </is>
      </c>
      <c r="C3" s="13" t="inlineStr"/>
      <c r="D3" s="13" t="inlineStr">
        <is>
          <t>Комментарий</t>
        </is>
      </c>
    </row>
    <row r="4">
      <c r="A4" s="6" t="inlineStr">
        <is>
          <t>Постоянные расходы, ₽/мес</t>
        </is>
      </c>
      <c r="B4" s="20">
        <f>Расходы!$B$14</f>
        <v/>
      </c>
      <c r="D4" s="2" t="inlineStr">
        <is>
          <t>Аренда, ФОТ, коммуналка, маркетинг, налоги, прочее</t>
        </is>
      </c>
    </row>
    <row r="5">
      <c r="A5" s="6" t="inlineStr">
        <is>
          <t>Доля переменных расходов (сырьё)</t>
        </is>
      </c>
      <c r="B5" s="22">
        <f>Параметры!$B$19</f>
        <v/>
      </c>
    </row>
    <row r="6">
      <c r="A6" s="6" t="inlineStr">
        <is>
          <t>Маржа после сырья</t>
        </is>
      </c>
      <c r="B6" s="19">
        <f>1-B5</f>
        <v/>
      </c>
    </row>
    <row r="7">
      <c r="A7" s="3" t="inlineStr">
        <is>
          <t>Точка безубыточности, ₽/мес</t>
        </is>
      </c>
      <c r="B7" s="15">
        <f>IF(B6=0,0,B4/B6)</f>
        <v/>
      </c>
      <c r="D7" s="2" t="inlineStr">
        <is>
          <t>Постоянные расходы / (1 − доля сырья)</t>
        </is>
      </c>
    </row>
    <row r="8">
      <c r="A8" s="6" t="inlineStr">
        <is>
          <t>Чеков в месяц для безубыточности</t>
        </is>
      </c>
      <c r="B8" s="23">
        <f>IF(Параметры!$B$10=0,0,B7/Параметры!$B$10)</f>
        <v/>
      </c>
    </row>
    <row r="9">
      <c r="A9" s="6" t="inlineStr">
        <is>
          <t>Чеков в день для безубыточности</t>
        </is>
      </c>
      <c r="B9" s="23">
        <f>IF((Параметры!$B$15+Параметры!$B$16)=0,0,B8/(Параметры!$B$15+Параметры!$B$16))</f>
        <v/>
      </c>
      <c r="D9" s="2" t="inlineStr">
        <is>
          <t>Минимум, ниже которого кофейня работает в минус</t>
        </is>
      </c>
    </row>
    <row r="11">
      <c r="A11" s="8" t="inlineStr">
        <is>
          <t>СРОК ОКУПАЕМОСТИ</t>
        </is>
      </c>
      <c r="B11" s="9" t="inlineStr"/>
    </row>
    <row r="12">
      <c r="A12" s="6" t="inlineStr">
        <is>
          <t>Сумма инвестиций, ₽</t>
        </is>
      </c>
      <c r="B12" s="20">
        <f>Инвестиции!$D$12</f>
        <v/>
      </c>
    </row>
    <row r="13">
      <c r="A13" s="6" t="inlineStr">
        <is>
          <t>Плановая выручка, ₽/мес</t>
        </is>
      </c>
      <c r="B13" s="20">
        <f>Выручка!$C$8</f>
        <v/>
      </c>
    </row>
    <row r="14">
      <c r="A14" s="3" t="inlineStr">
        <is>
          <t>Чистая прибыль, ₽/мес</t>
        </is>
      </c>
      <c r="B14" s="15">
        <f>B13*(1-Параметры!$B$19)-B4</f>
        <v/>
      </c>
      <c r="D14" s="2" t="inlineStr">
        <is>
          <t>Выручка − сырьё − постоянные расходы</t>
        </is>
      </c>
    </row>
    <row r="15">
      <c r="A15" s="3" t="inlineStr">
        <is>
          <t>Срок окупаемости, мес.</t>
        </is>
      </c>
      <c r="B15" s="24">
        <f>IF(B14&lt;=0,"не окупается",B12/B14)</f>
        <v/>
      </c>
      <c r="D15" s="2" t="inlineStr">
        <is>
          <t>Инвестиции / чистая прибыль в месяц</t>
        </is>
      </c>
    </row>
    <row r="16">
      <c r="A16" s="6" t="inlineStr">
        <is>
          <t>Нужный резервный фонд (3 мес.), ₽</t>
        </is>
      </c>
      <c r="B16" s="14">
        <f>B4*3</f>
        <v/>
      </c>
      <c r="D16" s="2" t="inlineStr">
        <is>
          <t>Сверьте с цифрой в «Инвестициях»</t>
        </is>
      </c>
    </row>
    <row r="18">
      <c r="A18" s="8" t="inlineStr">
        <is>
          <t>ДАННЫЕ ДЛЯ ГРАФИКА</t>
        </is>
      </c>
    </row>
    <row r="19" ht="30" customHeight="1">
      <c r="A19" s="13" t="inlineStr">
        <is>
          <t>Чеков в день</t>
        </is>
      </c>
      <c r="B19" s="13" t="inlineStr">
        <is>
          <t>Выручка, ₽/мес</t>
        </is>
      </c>
      <c r="C19" s="13" t="inlineStr">
        <is>
          <t>Все расходы, ₽/мес</t>
        </is>
      </c>
      <c r="D19" s="13" t="inlineStr"/>
    </row>
    <row r="20">
      <c r="A20" s="25" t="n">
        <v>30</v>
      </c>
      <c r="B20" s="26">
        <f>A20*(Параметры!$B$15+Параметры!$B$16)*Параметры!$B$10</f>
        <v/>
      </c>
      <c r="C20" s="26">
        <f>B4+B20*Параметры!$B$19</f>
        <v/>
      </c>
    </row>
    <row r="21">
      <c r="A21" s="25" t="n">
        <v>40</v>
      </c>
      <c r="B21" s="26">
        <f>A21*(Параметры!$B$15+Параметры!$B$16)*Параметры!$B$10</f>
        <v/>
      </c>
      <c r="C21" s="26">
        <f>B4+B21*Параметры!$B$19</f>
        <v/>
      </c>
    </row>
    <row r="22">
      <c r="A22" s="25" t="n">
        <v>50</v>
      </c>
      <c r="B22" s="26">
        <f>A22*(Параметры!$B$15+Параметры!$B$16)*Параметры!$B$10</f>
        <v/>
      </c>
      <c r="C22" s="26">
        <f>B4+B22*Параметры!$B$19</f>
        <v/>
      </c>
    </row>
    <row r="23">
      <c r="A23" s="25" t="n">
        <v>60</v>
      </c>
      <c r="B23" s="26">
        <f>A23*(Параметры!$B$15+Параметры!$B$16)*Параметры!$B$10</f>
        <v/>
      </c>
      <c r="C23" s="26">
        <f>B4+B23*Параметры!$B$19</f>
        <v/>
      </c>
    </row>
    <row r="24">
      <c r="A24" s="25" t="n">
        <v>70</v>
      </c>
      <c r="B24" s="26">
        <f>A24*(Параметры!$B$15+Параметры!$B$16)*Параметры!$B$10</f>
        <v/>
      </c>
      <c r="C24" s="26">
        <f>B4+B24*Параметры!$B$19</f>
        <v/>
      </c>
    </row>
    <row r="25">
      <c r="A25" s="25" t="n">
        <v>80</v>
      </c>
      <c r="B25" s="26">
        <f>A25*(Параметры!$B$15+Параметры!$B$16)*Параметры!$B$10</f>
        <v/>
      </c>
      <c r="C25" s="26">
        <f>B4+B25*Параметры!$B$19</f>
        <v/>
      </c>
    </row>
    <row r="26">
      <c r="A26" s="25" t="n">
        <v>90</v>
      </c>
      <c r="B26" s="26">
        <f>A26*(Параметры!$B$15+Параметры!$B$16)*Параметры!$B$10</f>
        <v/>
      </c>
      <c r="C26" s="26">
        <f>B4+B26*Параметры!$B$19</f>
        <v/>
      </c>
    </row>
    <row r="27">
      <c r="A27" s="25" t="n">
        <v>100</v>
      </c>
      <c r="B27" s="26">
        <f>A27*(Параметры!$B$15+Параметры!$B$16)*Параметры!$B$10</f>
        <v/>
      </c>
      <c r="C27" s="26">
        <f>B4+B27*Параметры!$B$19</f>
        <v/>
      </c>
    </row>
    <row r="28">
      <c r="A28" s="25" t="n">
        <v>110</v>
      </c>
      <c r="B28" s="26">
        <f>A28*(Параметры!$B$15+Параметры!$B$16)*Параметры!$B$10</f>
        <v/>
      </c>
      <c r="C28" s="26">
        <f>B4+B28*Параметры!$B$19</f>
        <v/>
      </c>
    </row>
    <row r="29">
      <c r="A29" s="25" t="n">
        <v>120</v>
      </c>
      <c r="B29" s="26">
        <f>A29*(Параметры!$B$15+Параметры!$B$16)*Параметры!$B$10</f>
        <v/>
      </c>
      <c r="C29" s="26">
        <f>B4+B29*Параметры!$B$19</f>
        <v/>
      </c>
    </row>
    <row r="30">
      <c r="A30" s="25" t="n">
        <v>130</v>
      </c>
      <c r="B30" s="26">
        <f>A30*(Параметры!$B$15+Параметры!$B$16)*Параметры!$B$10</f>
        <v/>
      </c>
      <c r="C30" s="26">
        <f>B4+B30*Параметры!$B$19</f>
        <v/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31"/>
  <sheetViews>
    <sheetView showGridLines="0" workbookViewId="0">
      <selection activeCell="A1" sqref="A1"/>
    </sheetView>
  </sheetViews>
  <sheetFormatPr baseColWidth="8" defaultRowHeight="15"/>
  <cols>
    <col width="8" customWidth="1" min="1" max="1"/>
    <col width="12" customWidth="1" min="2" max="2"/>
    <col width="12" customWidth="1" min="3" max="3"/>
    <col width="15" customWidth="1" min="4" max="4"/>
    <col width="14" customWidth="1" min="5" max="5"/>
    <col width="15" customWidth="1" min="6" max="6"/>
    <col width="15" customWidth="1" min="7" max="7"/>
    <col width="16" customWidth="1" min="8" max="8"/>
    <col width="17" customWidth="1" min="9" max="9"/>
  </cols>
  <sheetData>
    <row r="1">
      <c r="A1" s="1" t="inlineStr">
        <is>
          <t>P&amp;L по месяцам и накопительный возврат инвестиций</t>
        </is>
      </c>
    </row>
    <row r="2">
      <c r="A2" s="2" t="inlineStr">
        <is>
          <t>Трафик растёт до планового к месяцу из параметров. К июню–августу применяется сезонный спад.</t>
        </is>
      </c>
    </row>
    <row r="4" ht="30" customHeight="1">
      <c r="A4" s="13" t="inlineStr">
        <is>
          <t>Мес.</t>
        </is>
      </c>
      <c r="B4" s="13" t="inlineStr">
        <is>
          <t>Кален-
дарный</t>
        </is>
      </c>
      <c r="C4" s="13" t="inlineStr">
        <is>
          <t>Чеков
в день</t>
        </is>
      </c>
      <c r="D4" s="13" t="inlineStr">
        <is>
          <t>Выручка, ₽</t>
        </is>
      </c>
      <c r="E4" s="13" t="inlineStr">
        <is>
          <t>Сырьё, ₽</t>
        </is>
      </c>
      <c r="F4" s="13" t="inlineStr">
        <is>
          <t>Постоянные, ₽</t>
        </is>
      </c>
      <c r="G4" s="13" t="inlineStr">
        <is>
          <t>Прибыль, ₽</t>
        </is>
      </c>
      <c r="H4" s="13" t="inlineStr">
        <is>
          <t>Накоплено, ₽</t>
        </is>
      </c>
      <c r="I4" s="13" t="inlineStr">
        <is>
          <t>Возврат
инвестиций, ₽</t>
        </is>
      </c>
    </row>
    <row r="5">
      <c r="A5" s="25" t="n">
        <v>1</v>
      </c>
      <c r="B5" s="25">
        <f>MOD(Параметры!$B$28+A5-2,12)+1</f>
        <v/>
      </c>
      <c r="C5" s="27">
        <f>((Параметры!$B$15*Параметры!$B$11+Параметры!$B$16*Параметры!$B$12)/(Параметры!$B$15+Параметры!$B$16))+(((Параметры!$B$15*Параметры!$B$13+Параметры!$B$16*Параметры!$B$14)/(Параметры!$B$15+Параметры!$B$16))-((Параметры!$B$15*Параметры!$B$11+Параметры!$B$16*Параметры!$B$12)/(Параметры!$B$15+Параметры!$B$16)))*MIN(1,(A5-1)/MAX(1,Параметры!$B$17-1))</f>
        <v/>
      </c>
      <c r="D5" s="26">
        <f>C5*(Параметры!$B$15+Параметры!$B$16)*Параметры!$B$10*IF(AND(B5&gt;=6,B5&lt;=8),1-Параметры!$B$27,1)</f>
        <v/>
      </c>
      <c r="E5" s="26">
        <f>D5*Параметры!$B$19</f>
        <v/>
      </c>
      <c r="F5" s="26">
        <f>(Параметры!$B$20+Параметры!$B$21+Параметры!$B$22+Параметры!$B$23+Параметры!$B$25)+D5*Параметры!$B$24</f>
        <v/>
      </c>
      <c r="G5" s="26">
        <f>D5-E5-F5</f>
        <v/>
      </c>
      <c r="H5" s="26">
        <f>G5</f>
        <v/>
      </c>
      <c r="I5" s="26">
        <f>H5-Инвестиции!$D$12</f>
        <v/>
      </c>
    </row>
    <row r="6">
      <c r="A6" s="25" t="n">
        <v>2</v>
      </c>
      <c r="B6" s="25">
        <f>MOD(Параметры!$B$28+A6-2,12)+1</f>
        <v/>
      </c>
      <c r="C6" s="27">
        <f>((Параметры!$B$15*Параметры!$B$11+Параметры!$B$16*Параметры!$B$12)/(Параметры!$B$15+Параметры!$B$16))+(((Параметры!$B$15*Параметры!$B$13+Параметры!$B$16*Параметры!$B$14)/(Параметры!$B$15+Параметры!$B$16))-((Параметры!$B$15*Параметры!$B$11+Параметры!$B$16*Параметры!$B$12)/(Параметры!$B$15+Параметры!$B$16)))*MIN(1,(A6-1)/MAX(1,Параметры!$B$17-1))</f>
        <v/>
      </c>
      <c r="D6" s="26">
        <f>C6*(Параметры!$B$15+Параметры!$B$16)*Параметры!$B$10*IF(AND(B6&gt;=6,B6&lt;=8),1-Параметры!$B$27,1)</f>
        <v/>
      </c>
      <c r="E6" s="26">
        <f>D6*Параметры!$B$19</f>
        <v/>
      </c>
      <c r="F6" s="26">
        <f>(Параметры!$B$20+Параметры!$B$21+Параметры!$B$22+Параметры!$B$23+Параметры!$B$25)+D6*Параметры!$B$24</f>
        <v/>
      </c>
      <c r="G6" s="26">
        <f>D6-E6-F6</f>
        <v/>
      </c>
      <c r="H6" s="26">
        <f>H5+G6</f>
        <v/>
      </c>
      <c r="I6" s="26">
        <f>H6-Инвестиции!$D$12</f>
        <v/>
      </c>
    </row>
    <row r="7">
      <c r="A7" s="25" t="n">
        <v>3</v>
      </c>
      <c r="B7" s="25">
        <f>MOD(Параметры!$B$28+A7-2,12)+1</f>
        <v/>
      </c>
      <c r="C7" s="27">
        <f>((Параметры!$B$15*Параметры!$B$11+Параметры!$B$16*Параметры!$B$12)/(Параметры!$B$15+Параметры!$B$16))+(((Параметры!$B$15*Параметры!$B$13+Параметры!$B$16*Параметры!$B$14)/(Параметры!$B$15+Параметры!$B$16))-((Параметры!$B$15*Параметры!$B$11+Параметры!$B$16*Параметры!$B$12)/(Параметры!$B$15+Параметры!$B$16)))*MIN(1,(A7-1)/MAX(1,Параметры!$B$17-1))</f>
        <v/>
      </c>
      <c r="D7" s="26">
        <f>C7*(Параметры!$B$15+Параметры!$B$16)*Параметры!$B$10*IF(AND(B7&gt;=6,B7&lt;=8),1-Параметры!$B$27,1)</f>
        <v/>
      </c>
      <c r="E7" s="26">
        <f>D7*Параметры!$B$19</f>
        <v/>
      </c>
      <c r="F7" s="26">
        <f>(Параметры!$B$20+Параметры!$B$21+Параметры!$B$22+Параметры!$B$23+Параметры!$B$25)+D7*Параметры!$B$24</f>
        <v/>
      </c>
      <c r="G7" s="26">
        <f>D7-E7-F7</f>
        <v/>
      </c>
      <c r="H7" s="26">
        <f>H6+G7</f>
        <v/>
      </c>
      <c r="I7" s="26">
        <f>H7-Инвестиции!$D$12</f>
        <v/>
      </c>
    </row>
    <row r="8">
      <c r="A8" s="25" t="n">
        <v>4</v>
      </c>
      <c r="B8" s="25">
        <f>MOD(Параметры!$B$28+A8-2,12)+1</f>
        <v/>
      </c>
      <c r="C8" s="27">
        <f>((Параметры!$B$15*Параметры!$B$11+Параметры!$B$16*Параметры!$B$12)/(Параметры!$B$15+Параметры!$B$16))+(((Параметры!$B$15*Параметры!$B$13+Параметры!$B$16*Параметры!$B$14)/(Параметры!$B$15+Параметры!$B$16))-((Параметры!$B$15*Параметры!$B$11+Параметры!$B$16*Параметры!$B$12)/(Параметры!$B$15+Параметры!$B$16)))*MIN(1,(A8-1)/MAX(1,Параметры!$B$17-1))</f>
        <v/>
      </c>
      <c r="D8" s="26">
        <f>C8*(Параметры!$B$15+Параметры!$B$16)*Параметры!$B$10*IF(AND(B8&gt;=6,B8&lt;=8),1-Параметры!$B$27,1)</f>
        <v/>
      </c>
      <c r="E8" s="26">
        <f>D8*Параметры!$B$19</f>
        <v/>
      </c>
      <c r="F8" s="26">
        <f>(Параметры!$B$20+Параметры!$B$21+Параметры!$B$22+Параметры!$B$23+Параметры!$B$25)+D8*Параметры!$B$24</f>
        <v/>
      </c>
      <c r="G8" s="26">
        <f>D8-E8-F8</f>
        <v/>
      </c>
      <c r="H8" s="26">
        <f>H7+G8</f>
        <v/>
      </c>
      <c r="I8" s="26">
        <f>H8-Инвестиции!$D$12</f>
        <v/>
      </c>
    </row>
    <row r="9">
      <c r="A9" s="25" t="n">
        <v>5</v>
      </c>
      <c r="B9" s="25">
        <f>MOD(Параметры!$B$28+A9-2,12)+1</f>
        <v/>
      </c>
      <c r="C9" s="27">
        <f>((Параметры!$B$15*Параметры!$B$11+Параметры!$B$16*Параметры!$B$12)/(Параметры!$B$15+Параметры!$B$16))+(((Параметры!$B$15*Параметры!$B$13+Параметры!$B$16*Параметры!$B$14)/(Параметры!$B$15+Параметры!$B$16))-((Параметры!$B$15*Параметры!$B$11+Параметры!$B$16*Параметры!$B$12)/(Параметры!$B$15+Параметры!$B$16)))*MIN(1,(A9-1)/MAX(1,Параметры!$B$17-1))</f>
        <v/>
      </c>
      <c r="D9" s="26">
        <f>C9*(Параметры!$B$15+Параметры!$B$16)*Параметры!$B$10*IF(AND(B9&gt;=6,B9&lt;=8),1-Параметры!$B$27,1)</f>
        <v/>
      </c>
      <c r="E9" s="26">
        <f>D9*Параметры!$B$19</f>
        <v/>
      </c>
      <c r="F9" s="26">
        <f>(Параметры!$B$20+Параметры!$B$21+Параметры!$B$22+Параметры!$B$23+Параметры!$B$25)+D9*Параметры!$B$24</f>
        <v/>
      </c>
      <c r="G9" s="26">
        <f>D9-E9-F9</f>
        <v/>
      </c>
      <c r="H9" s="26">
        <f>H8+G9</f>
        <v/>
      </c>
      <c r="I9" s="26">
        <f>H9-Инвестиции!$D$12</f>
        <v/>
      </c>
    </row>
    <row r="10">
      <c r="A10" s="25" t="n">
        <v>6</v>
      </c>
      <c r="B10" s="25">
        <f>MOD(Параметры!$B$28+A10-2,12)+1</f>
        <v/>
      </c>
      <c r="C10" s="27">
        <f>((Параметры!$B$15*Параметры!$B$11+Параметры!$B$16*Параметры!$B$12)/(Параметры!$B$15+Параметры!$B$16))+(((Параметры!$B$15*Параметры!$B$13+Параметры!$B$16*Параметры!$B$14)/(Параметры!$B$15+Параметры!$B$16))-((Параметры!$B$15*Параметры!$B$11+Параметры!$B$16*Параметры!$B$12)/(Параметры!$B$15+Параметры!$B$16)))*MIN(1,(A10-1)/MAX(1,Параметры!$B$17-1))</f>
        <v/>
      </c>
      <c r="D10" s="26">
        <f>C10*(Параметры!$B$15+Параметры!$B$16)*Параметры!$B$10*IF(AND(B10&gt;=6,B10&lt;=8),1-Параметры!$B$27,1)</f>
        <v/>
      </c>
      <c r="E10" s="26">
        <f>D10*Параметры!$B$19</f>
        <v/>
      </c>
      <c r="F10" s="26">
        <f>(Параметры!$B$20+Параметры!$B$21+Параметры!$B$22+Параметры!$B$23+Параметры!$B$25)+D10*Параметры!$B$24</f>
        <v/>
      </c>
      <c r="G10" s="26">
        <f>D10-E10-F10</f>
        <v/>
      </c>
      <c r="H10" s="26">
        <f>H9+G10</f>
        <v/>
      </c>
      <c r="I10" s="26">
        <f>H10-Инвестиции!$D$12</f>
        <v/>
      </c>
    </row>
    <row r="11">
      <c r="A11" s="25" t="n">
        <v>7</v>
      </c>
      <c r="B11" s="25">
        <f>MOD(Параметры!$B$28+A11-2,12)+1</f>
        <v/>
      </c>
      <c r="C11" s="27">
        <f>((Параметры!$B$15*Параметры!$B$11+Параметры!$B$16*Параметры!$B$12)/(Параметры!$B$15+Параметры!$B$16))+(((Параметры!$B$15*Параметры!$B$13+Параметры!$B$16*Параметры!$B$14)/(Параметры!$B$15+Параметры!$B$16))-((Параметры!$B$15*Параметры!$B$11+Параметры!$B$16*Параметры!$B$12)/(Параметры!$B$15+Параметры!$B$16)))*MIN(1,(A11-1)/MAX(1,Параметры!$B$17-1))</f>
        <v/>
      </c>
      <c r="D11" s="26">
        <f>C11*(Параметры!$B$15+Параметры!$B$16)*Параметры!$B$10*IF(AND(B11&gt;=6,B11&lt;=8),1-Параметры!$B$27,1)</f>
        <v/>
      </c>
      <c r="E11" s="26">
        <f>D11*Параметры!$B$19</f>
        <v/>
      </c>
      <c r="F11" s="26">
        <f>(Параметры!$B$20+Параметры!$B$21+Параметры!$B$22+Параметры!$B$23+Параметры!$B$25)+D11*Параметры!$B$24</f>
        <v/>
      </c>
      <c r="G11" s="26">
        <f>D11-E11-F11</f>
        <v/>
      </c>
      <c r="H11" s="26">
        <f>H10+G11</f>
        <v/>
      </c>
      <c r="I11" s="26">
        <f>H11-Инвестиции!$D$12</f>
        <v/>
      </c>
    </row>
    <row r="12">
      <c r="A12" s="25" t="n">
        <v>8</v>
      </c>
      <c r="B12" s="25">
        <f>MOD(Параметры!$B$28+A12-2,12)+1</f>
        <v/>
      </c>
      <c r="C12" s="27">
        <f>((Параметры!$B$15*Параметры!$B$11+Параметры!$B$16*Параметры!$B$12)/(Параметры!$B$15+Параметры!$B$16))+(((Параметры!$B$15*Параметры!$B$13+Параметры!$B$16*Параметры!$B$14)/(Параметры!$B$15+Параметры!$B$16))-((Параметры!$B$15*Параметры!$B$11+Параметры!$B$16*Параметры!$B$12)/(Параметры!$B$15+Параметры!$B$16)))*MIN(1,(A12-1)/MAX(1,Параметры!$B$17-1))</f>
        <v/>
      </c>
      <c r="D12" s="26">
        <f>C12*(Параметры!$B$15+Параметры!$B$16)*Параметры!$B$10*IF(AND(B12&gt;=6,B12&lt;=8),1-Параметры!$B$27,1)</f>
        <v/>
      </c>
      <c r="E12" s="26">
        <f>D12*Параметры!$B$19</f>
        <v/>
      </c>
      <c r="F12" s="26">
        <f>(Параметры!$B$20+Параметры!$B$21+Параметры!$B$22+Параметры!$B$23+Параметры!$B$25)+D12*Параметры!$B$24</f>
        <v/>
      </c>
      <c r="G12" s="26">
        <f>D12-E12-F12</f>
        <v/>
      </c>
      <c r="H12" s="26">
        <f>H11+G12</f>
        <v/>
      </c>
      <c r="I12" s="26">
        <f>H12-Инвестиции!$D$12</f>
        <v/>
      </c>
    </row>
    <row r="13">
      <c r="A13" s="25" t="n">
        <v>9</v>
      </c>
      <c r="B13" s="25">
        <f>MOD(Параметры!$B$28+A13-2,12)+1</f>
        <v/>
      </c>
      <c r="C13" s="27">
        <f>((Параметры!$B$15*Параметры!$B$11+Параметры!$B$16*Параметры!$B$12)/(Параметры!$B$15+Параметры!$B$16))+(((Параметры!$B$15*Параметры!$B$13+Параметры!$B$16*Параметры!$B$14)/(Параметры!$B$15+Параметры!$B$16))-((Параметры!$B$15*Параметры!$B$11+Параметры!$B$16*Параметры!$B$12)/(Параметры!$B$15+Параметры!$B$16)))*MIN(1,(A13-1)/MAX(1,Параметры!$B$17-1))</f>
        <v/>
      </c>
      <c r="D13" s="26">
        <f>C13*(Параметры!$B$15+Параметры!$B$16)*Параметры!$B$10*IF(AND(B13&gt;=6,B13&lt;=8),1-Параметры!$B$27,1)</f>
        <v/>
      </c>
      <c r="E13" s="26">
        <f>D13*Параметры!$B$19</f>
        <v/>
      </c>
      <c r="F13" s="26">
        <f>(Параметры!$B$20+Параметры!$B$21+Параметры!$B$22+Параметры!$B$23+Параметры!$B$25)+D13*Параметры!$B$24</f>
        <v/>
      </c>
      <c r="G13" s="26">
        <f>D13-E13-F13</f>
        <v/>
      </c>
      <c r="H13" s="26">
        <f>H12+G13</f>
        <v/>
      </c>
      <c r="I13" s="26">
        <f>H13-Инвестиции!$D$12</f>
        <v/>
      </c>
    </row>
    <row r="14">
      <c r="A14" s="25" t="n">
        <v>10</v>
      </c>
      <c r="B14" s="25">
        <f>MOD(Параметры!$B$28+A14-2,12)+1</f>
        <v/>
      </c>
      <c r="C14" s="27">
        <f>((Параметры!$B$15*Параметры!$B$11+Параметры!$B$16*Параметры!$B$12)/(Параметры!$B$15+Параметры!$B$16))+(((Параметры!$B$15*Параметры!$B$13+Параметры!$B$16*Параметры!$B$14)/(Параметры!$B$15+Параметры!$B$16))-((Параметры!$B$15*Параметры!$B$11+Параметры!$B$16*Параметры!$B$12)/(Параметры!$B$15+Параметры!$B$16)))*MIN(1,(A14-1)/MAX(1,Параметры!$B$17-1))</f>
        <v/>
      </c>
      <c r="D14" s="26">
        <f>C14*(Параметры!$B$15+Параметры!$B$16)*Параметры!$B$10*IF(AND(B14&gt;=6,B14&lt;=8),1-Параметры!$B$27,1)</f>
        <v/>
      </c>
      <c r="E14" s="26">
        <f>D14*Параметры!$B$19</f>
        <v/>
      </c>
      <c r="F14" s="26">
        <f>(Параметры!$B$20+Параметры!$B$21+Параметры!$B$22+Параметры!$B$23+Параметры!$B$25)+D14*Параметры!$B$24</f>
        <v/>
      </c>
      <c r="G14" s="26">
        <f>D14-E14-F14</f>
        <v/>
      </c>
      <c r="H14" s="26">
        <f>H13+G14</f>
        <v/>
      </c>
      <c r="I14" s="26">
        <f>H14-Инвестиции!$D$12</f>
        <v/>
      </c>
    </row>
    <row r="15">
      <c r="A15" s="25" t="n">
        <v>11</v>
      </c>
      <c r="B15" s="25">
        <f>MOD(Параметры!$B$28+A15-2,12)+1</f>
        <v/>
      </c>
      <c r="C15" s="27">
        <f>((Параметры!$B$15*Параметры!$B$11+Параметры!$B$16*Параметры!$B$12)/(Параметры!$B$15+Параметры!$B$16))+(((Параметры!$B$15*Параметры!$B$13+Параметры!$B$16*Параметры!$B$14)/(Параметры!$B$15+Параметры!$B$16))-((Параметры!$B$15*Параметры!$B$11+Параметры!$B$16*Параметры!$B$12)/(Параметры!$B$15+Параметры!$B$16)))*MIN(1,(A15-1)/MAX(1,Параметры!$B$17-1))</f>
        <v/>
      </c>
      <c r="D15" s="26">
        <f>C15*(Параметры!$B$15+Параметры!$B$16)*Параметры!$B$10*IF(AND(B15&gt;=6,B15&lt;=8),1-Параметры!$B$27,1)</f>
        <v/>
      </c>
      <c r="E15" s="26">
        <f>D15*Параметры!$B$19</f>
        <v/>
      </c>
      <c r="F15" s="26">
        <f>(Параметры!$B$20+Параметры!$B$21+Параметры!$B$22+Параметры!$B$23+Параметры!$B$25)+D15*Параметры!$B$24</f>
        <v/>
      </c>
      <c r="G15" s="26">
        <f>D15-E15-F15</f>
        <v/>
      </c>
      <c r="H15" s="26">
        <f>H14+G15</f>
        <v/>
      </c>
      <c r="I15" s="26">
        <f>H15-Инвестиции!$D$12</f>
        <v/>
      </c>
    </row>
    <row r="16">
      <c r="A16" s="25" t="n">
        <v>12</v>
      </c>
      <c r="B16" s="25">
        <f>MOD(Параметры!$B$28+A16-2,12)+1</f>
        <v/>
      </c>
      <c r="C16" s="27">
        <f>((Параметры!$B$15*Параметры!$B$11+Параметры!$B$16*Параметры!$B$12)/(Параметры!$B$15+Параметры!$B$16))+(((Параметры!$B$15*Параметры!$B$13+Параметры!$B$16*Параметры!$B$14)/(Параметры!$B$15+Параметры!$B$16))-((Параметры!$B$15*Параметры!$B$11+Параметры!$B$16*Параметры!$B$12)/(Параметры!$B$15+Параметры!$B$16)))*MIN(1,(A16-1)/MAX(1,Параметры!$B$17-1))</f>
        <v/>
      </c>
      <c r="D16" s="26">
        <f>C16*(Параметры!$B$15+Параметры!$B$16)*Параметры!$B$10*IF(AND(B16&gt;=6,B16&lt;=8),1-Параметры!$B$27,1)</f>
        <v/>
      </c>
      <c r="E16" s="26">
        <f>D16*Параметры!$B$19</f>
        <v/>
      </c>
      <c r="F16" s="26">
        <f>(Параметры!$B$20+Параметры!$B$21+Параметры!$B$22+Параметры!$B$23+Параметры!$B$25)+D16*Параметры!$B$24</f>
        <v/>
      </c>
      <c r="G16" s="26">
        <f>D16-E16-F16</f>
        <v/>
      </c>
      <c r="H16" s="26">
        <f>H15+G16</f>
        <v/>
      </c>
      <c r="I16" s="26">
        <f>H16-Инвестиции!$D$12</f>
        <v/>
      </c>
    </row>
    <row r="17">
      <c r="A17" s="25" t="n">
        <v>13</v>
      </c>
      <c r="B17" s="25">
        <f>MOD(Параметры!$B$28+A17-2,12)+1</f>
        <v/>
      </c>
      <c r="C17" s="27">
        <f>((Параметры!$B$15*Параметры!$B$11+Параметры!$B$16*Параметры!$B$12)/(Параметры!$B$15+Параметры!$B$16))+(((Параметры!$B$15*Параметры!$B$13+Параметры!$B$16*Параметры!$B$14)/(Параметры!$B$15+Параметры!$B$16))-((Параметры!$B$15*Параметры!$B$11+Параметры!$B$16*Параметры!$B$12)/(Параметры!$B$15+Параметры!$B$16)))*MIN(1,(A17-1)/MAX(1,Параметры!$B$17-1))</f>
        <v/>
      </c>
      <c r="D17" s="26">
        <f>C17*(Параметры!$B$15+Параметры!$B$16)*Параметры!$B$10*IF(AND(B17&gt;=6,B17&lt;=8),1-Параметры!$B$27,1)</f>
        <v/>
      </c>
      <c r="E17" s="26">
        <f>D17*Параметры!$B$19</f>
        <v/>
      </c>
      <c r="F17" s="26">
        <f>(Параметры!$B$20+Параметры!$B$21+Параметры!$B$22+Параметры!$B$23+Параметры!$B$25)+D17*Параметры!$B$24</f>
        <v/>
      </c>
      <c r="G17" s="26">
        <f>D17-E17-F17</f>
        <v/>
      </c>
      <c r="H17" s="26">
        <f>H16+G17</f>
        <v/>
      </c>
      <c r="I17" s="26">
        <f>H17-Инвестиции!$D$12</f>
        <v/>
      </c>
    </row>
    <row r="18">
      <c r="A18" s="25" t="n">
        <v>14</v>
      </c>
      <c r="B18" s="25">
        <f>MOD(Параметры!$B$28+A18-2,12)+1</f>
        <v/>
      </c>
      <c r="C18" s="27">
        <f>((Параметры!$B$15*Параметры!$B$11+Параметры!$B$16*Параметры!$B$12)/(Параметры!$B$15+Параметры!$B$16))+(((Параметры!$B$15*Параметры!$B$13+Параметры!$B$16*Параметры!$B$14)/(Параметры!$B$15+Параметры!$B$16))-((Параметры!$B$15*Параметры!$B$11+Параметры!$B$16*Параметры!$B$12)/(Параметры!$B$15+Параметры!$B$16)))*MIN(1,(A18-1)/MAX(1,Параметры!$B$17-1))</f>
        <v/>
      </c>
      <c r="D18" s="26">
        <f>C18*(Параметры!$B$15+Параметры!$B$16)*Параметры!$B$10*IF(AND(B18&gt;=6,B18&lt;=8),1-Параметры!$B$27,1)</f>
        <v/>
      </c>
      <c r="E18" s="26">
        <f>D18*Параметры!$B$19</f>
        <v/>
      </c>
      <c r="F18" s="26">
        <f>(Параметры!$B$20+Параметры!$B$21+Параметры!$B$22+Параметры!$B$23+Параметры!$B$25)+D18*Параметры!$B$24</f>
        <v/>
      </c>
      <c r="G18" s="26">
        <f>D18-E18-F18</f>
        <v/>
      </c>
      <c r="H18" s="26">
        <f>H17+G18</f>
        <v/>
      </c>
      <c r="I18" s="26">
        <f>H18-Инвестиции!$D$12</f>
        <v/>
      </c>
    </row>
    <row r="19">
      <c r="A19" s="25" t="n">
        <v>15</v>
      </c>
      <c r="B19" s="25">
        <f>MOD(Параметры!$B$28+A19-2,12)+1</f>
        <v/>
      </c>
      <c r="C19" s="27">
        <f>((Параметры!$B$15*Параметры!$B$11+Параметры!$B$16*Параметры!$B$12)/(Параметры!$B$15+Параметры!$B$16))+(((Параметры!$B$15*Параметры!$B$13+Параметры!$B$16*Параметры!$B$14)/(Параметры!$B$15+Параметры!$B$16))-((Параметры!$B$15*Параметры!$B$11+Параметры!$B$16*Параметры!$B$12)/(Параметры!$B$15+Параметры!$B$16)))*MIN(1,(A19-1)/MAX(1,Параметры!$B$17-1))</f>
        <v/>
      </c>
      <c r="D19" s="26">
        <f>C19*(Параметры!$B$15+Параметры!$B$16)*Параметры!$B$10*IF(AND(B19&gt;=6,B19&lt;=8),1-Параметры!$B$27,1)</f>
        <v/>
      </c>
      <c r="E19" s="26">
        <f>D19*Параметры!$B$19</f>
        <v/>
      </c>
      <c r="F19" s="26">
        <f>(Параметры!$B$20+Параметры!$B$21+Параметры!$B$22+Параметры!$B$23+Параметры!$B$25)+D19*Параметры!$B$24</f>
        <v/>
      </c>
      <c r="G19" s="26">
        <f>D19-E19-F19</f>
        <v/>
      </c>
      <c r="H19" s="26">
        <f>H18+G19</f>
        <v/>
      </c>
      <c r="I19" s="26">
        <f>H19-Инвестиции!$D$12</f>
        <v/>
      </c>
    </row>
    <row r="20">
      <c r="A20" s="25" t="n">
        <v>16</v>
      </c>
      <c r="B20" s="25">
        <f>MOD(Параметры!$B$28+A20-2,12)+1</f>
        <v/>
      </c>
      <c r="C20" s="27">
        <f>((Параметры!$B$15*Параметры!$B$11+Параметры!$B$16*Параметры!$B$12)/(Параметры!$B$15+Параметры!$B$16))+(((Параметры!$B$15*Параметры!$B$13+Параметры!$B$16*Параметры!$B$14)/(Параметры!$B$15+Параметры!$B$16))-((Параметры!$B$15*Параметры!$B$11+Параметры!$B$16*Параметры!$B$12)/(Параметры!$B$15+Параметры!$B$16)))*MIN(1,(A20-1)/MAX(1,Параметры!$B$17-1))</f>
        <v/>
      </c>
      <c r="D20" s="26">
        <f>C20*(Параметры!$B$15+Параметры!$B$16)*Параметры!$B$10*IF(AND(B20&gt;=6,B20&lt;=8),1-Параметры!$B$27,1)</f>
        <v/>
      </c>
      <c r="E20" s="26">
        <f>D20*Параметры!$B$19</f>
        <v/>
      </c>
      <c r="F20" s="26">
        <f>(Параметры!$B$20+Параметры!$B$21+Параметры!$B$22+Параметры!$B$23+Параметры!$B$25)+D20*Параметры!$B$24</f>
        <v/>
      </c>
      <c r="G20" s="26">
        <f>D20-E20-F20</f>
        <v/>
      </c>
      <c r="H20" s="26">
        <f>H19+G20</f>
        <v/>
      </c>
      <c r="I20" s="26">
        <f>H20-Инвестиции!$D$12</f>
        <v/>
      </c>
    </row>
    <row r="21">
      <c r="A21" s="25" t="n">
        <v>17</v>
      </c>
      <c r="B21" s="25">
        <f>MOD(Параметры!$B$28+A21-2,12)+1</f>
        <v/>
      </c>
      <c r="C21" s="27">
        <f>((Параметры!$B$15*Параметры!$B$11+Параметры!$B$16*Параметры!$B$12)/(Параметры!$B$15+Параметры!$B$16))+(((Параметры!$B$15*Параметры!$B$13+Параметры!$B$16*Параметры!$B$14)/(Параметры!$B$15+Параметры!$B$16))-((Параметры!$B$15*Параметры!$B$11+Параметры!$B$16*Параметры!$B$12)/(Параметры!$B$15+Параметры!$B$16)))*MIN(1,(A21-1)/MAX(1,Параметры!$B$17-1))</f>
        <v/>
      </c>
      <c r="D21" s="26">
        <f>C21*(Параметры!$B$15+Параметры!$B$16)*Параметры!$B$10*IF(AND(B21&gt;=6,B21&lt;=8),1-Параметры!$B$27,1)</f>
        <v/>
      </c>
      <c r="E21" s="26">
        <f>D21*Параметры!$B$19</f>
        <v/>
      </c>
      <c r="F21" s="26">
        <f>(Параметры!$B$20+Параметры!$B$21+Параметры!$B$22+Параметры!$B$23+Параметры!$B$25)+D21*Параметры!$B$24</f>
        <v/>
      </c>
      <c r="G21" s="26">
        <f>D21-E21-F21</f>
        <v/>
      </c>
      <c r="H21" s="26">
        <f>H20+G21</f>
        <v/>
      </c>
      <c r="I21" s="26">
        <f>H21-Инвестиции!$D$12</f>
        <v/>
      </c>
    </row>
    <row r="22">
      <c r="A22" s="25" t="n">
        <v>18</v>
      </c>
      <c r="B22" s="25">
        <f>MOD(Параметры!$B$28+A22-2,12)+1</f>
        <v/>
      </c>
      <c r="C22" s="27">
        <f>((Параметры!$B$15*Параметры!$B$11+Параметры!$B$16*Параметры!$B$12)/(Параметры!$B$15+Параметры!$B$16))+(((Параметры!$B$15*Параметры!$B$13+Параметры!$B$16*Параметры!$B$14)/(Параметры!$B$15+Параметры!$B$16))-((Параметры!$B$15*Параметры!$B$11+Параметры!$B$16*Параметры!$B$12)/(Параметры!$B$15+Параметры!$B$16)))*MIN(1,(A22-1)/MAX(1,Параметры!$B$17-1))</f>
        <v/>
      </c>
      <c r="D22" s="26">
        <f>C22*(Параметры!$B$15+Параметры!$B$16)*Параметры!$B$10*IF(AND(B22&gt;=6,B22&lt;=8),1-Параметры!$B$27,1)</f>
        <v/>
      </c>
      <c r="E22" s="26">
        <f>D22*Параметры!$B$19</f>
        <v/>
      </c>
      <c r="F22" s="26">
        <f>(Параметры!$B$20+Параметры!$B$21+Параметры!$B$22+Параметры!$B$23+Параметры!$B$25)+D22*Параметры!$B$24</f>
        <v/>
      </c>
      <c r="G22" s="26">
        <f>D22-E22-F22</f>
        <v/>
      </c>
      <c r="H22" s="26">
        <f>H21+G22</f>
        <v/>
      </c>
      <c r="I22" s="26">
        <f>H22-Инвестиции!$D$12</f>
        <v/>
      </c>
    </row>
    <row r="23">
      <c r="A23" s="25" t="n">
        <v>19</v>
      </c>
      <c r="B23" s="25">
        <f>MOD(Параметры!$B$28+A23-2,12)+1</f>
        <v/>
      </c>
      <c r="C23" s="27">
        <f>((Параметры!$B$15*Параметры!$B$11+Параметры!$B$16*Параметры!$B$12)/(Параметры!$B$15+Параметры!$B$16))+(((Параметры!$B$15*Параметры!$B$13+Параметры!$B$16*Параметры!$B$14)/(Параметры!$B$15+Параметры!$B$16))-((Параметры!$B$15*Параметры!$B$11+Параметры!$B$16*Параметры!$B$12)/(Параметры!$B$15+Параметры!$B$16)))*MIN(1,(A23-1)/MAX(1,Параметры!$B$17-1))</f>
        <v/>
      </c>
      <c r="D23" s="26">
        <f>C23*(Параметры!$B$15+Параметры!$B$16)*Параметры!$B$10*IF(AND(B23&gt;=6,B23&lt;=8),1-Параметры!$B$27,1)</f>
        <v/>
      </c>
      <c r="E23" s="26">
        <f>D23*Параметры!$B$19</f>
        <v/>
      </c>
      <c r="F23" s="26">
        <f>(Параметры!$B$20+Параметры!$B$21+Параметры!$B$22+Параметры!$B$23+Параметры!$B$25)+D23*Параметры!$B$24</f>
        <v/>
      </c>
      <c r="G23" s="26">
        <f>D23-E23-F23</f>
        <v/>
      </c>
      <c r="H23" s="26">
        <f>H22+G23</f>
        <v/>
      </c>
      <c r="I23" s="26">
        <f>H23-Инвестиции!$D$12</f>
        <v/>
      </c>
    </row>
    <row r="24">
      <c r="A24" s="25" t="n">
        <v>20</v>
      </c>
      <c r="B24" s="25">
        <f>MOD(Параметры!$B$28+A24-2,12)+1</f>
        <v/>
      </c>
      <c r="C24" s="27">
        <f>((Параметры!$B$15*Параметры!$B$11+Параметры!$B$16*Параметры!$B$12)/(Параметры!$B$15+Параметры!$B$16))+(((Параметры!$B$15*Параметры!$B$13+Параметры!$B$16*Параметры!$B$14)/(Параметры!$B$15+Параметры!$B$16))-((Параметры!$B$15*Параметры!$B$11+Параметры!$B$16*Параметры!$B$12)/(Параметры!$B$15+Параметры!$B$16)))*MIN(1,(A24-1)/MAX(1,Параметры!$B$17-1))</f>
        <v/>
      </c>
      <c r="D24" s="26">
        <f>C24*(Параметры!$B$15+Параметры!$B$16)*Параметры!$B$10*IF(AND(B24&gt;=6,B24&lt;=8),1-Параметры!$B$27,1)</f>
        <v/>
      </c>
      <c r="E24" s="26">
        <f>D24*Параметры!$B$19</f>
        <v/>
      </c>
      <c r="F24" s="26">
        <f>(Параметры!$B$20+Параметры!$B$21+Параметры!$B$22+Параметры!$B$23+Параметры!$B$25)+D24*Параметры!$B$24</f>
        <v/>
      </c>
      <c r="G24" s="26">
        <f>D24-E24-F24</f>
        <v/>
      </c>
      <c r="H24" s="26">
        <f>H23+G24</f>
        <v/>
      </c>
      <c r="I24" s="26">
        <f>H24-Инвестиции!$D$12</f>
        <v/>
      </c>
    </row>
    <row r="25">
      <c r="A25" s="25" t="n">
        <v>21</v>
      </c>
      <c r="B25" s="25">
        <f>MOD(Параметры!$B$28+A25-2,12)+1</f>
        <v/>
      </c>
      <c r="C25" s="27">
        <f>((Параметры!$B$15*Параметры!$B$11+Параметры!$B$16*Параметры!$B$12)/(Параметры!$B$15+Параметры!$B$16))+(((Параметры!$B$15*Параметры!$B$13+Параметры!$B$16*Параметры!$B$14)/(Параметры!$B$15+Параметры!$B$16))-((Параметры!$B$15*Параметры!$B$11+Параметры!$B$16*Параметры!$B$12)/(Параметры!$B$15+Параметры!$B$16)))*MIN(1,(A25-1)/MAX(1,Параметры!$B$17-1))</f>
        <v/>
      </c>
      <c r="D25" s="26">
        <f>C25*(Параметры!$B$15+Параметры!$B$16)*Параметры!$B$10*IF(AND(B25&gt;=6,B25&lt;=8),1-Параметры!$B$27,1)</f>
        <v/>
      </c>
      <c r="E25" s="26">
        <f>D25*Параметры!$B$19</f>
        <v/>
      </c>
      <c r="F25" s="26">
        <f>(Параметры!$B$20+Параметры!$B$21+Параметры!$B$22+Параметры!$B$23+Параметры!$B$25)+D25*Параметры!$B$24</f>
        <v/>
      </c>
      <c r="G25" s="26">
        <f>D25-E25-F25</f>
        <v/>
      </c>
      <c r="H25" s="26">
        <f>H24+G25</f>
        <v/>
      </c>
      <c r="I25" s="26">
        <f>H25-Инвестиции!$D$12</f>
        <v/>
      </c>
    </row>
    <row r="26">
      <c r="A26" s="25" t="n">
        <v>22</v>
      </c>
      <c r="B26" s="25">
        <f>MOD(Параметры!$B$28+A26-2,12)+1</f>
        <v/>
      </c>
      <c r="C26" s="27">
        <f>((Параметры!$B$15*Параметры!$B$11+Параметры!$B$16*Параметры!$B$12)/(Параметры!$B$15+Параметры!$B$16))+(((Параметры!$B$15*Параметры!$B$13+Параметры!$B$16*Параметры!$B$14)/(Параметры!$B$15+Параметры!$B$16))-((Параметры!$B$15*Параметры!$B$11+Параметры!$B$16*Параметры!$B$12)/(Параметры!$B$15+Параметры!$B$16)))*MIN(1,(A26-1)/MAX(1,Параметры!$B$17-1))</f>
        <v/>
      </c>
      <c r="D26" s="26">
        <f>C26*(Параметры!$B$15+Параметры!$B$16)*Параметры!$B$10*IF(AND(B26&gt;=6,B26&lt;=8),1-Параметры!$B$27,1)</f>
        <v/>
      </c>
      <c r="E26" s="26">
        <f>D26*Параметры!$B$19</f>
        <v/>
      </c>
      <c r="F26" s="26">
        <f>(Параметры!$B$20+Параметры!$B$21+Параметры!$B$22+Параметры!$B$23+Параметры!$B$25)+D26*Параметры!$B$24</f>
        <v/>
      </c>
      <c r="G26" s="26">
        <f>D26-E26-F26</f>
        <v/>
      </c>
      <c r="H26" s="26">
        <f>H25+G26</f>
        <v/>
      </c>
      <c r="I26" s="26">
        <f>H26-Инвестиции!$D$12</f>
        <v/>
      </c>
    </row>
    <row r="27">
      <c r="A27" s="25" t="n">
        <v>23</v>
      </c>
      <c r="B27" s="25">
        <f>MOD(Параметры!$B$28+A27-2,12)+1</f>
        <v/>
      </c>
      <c r="C27" s="27">
        <f>((Параметры!$B$15*Параметры!$B$11+Параметры!$B$16*Параметры!$B$12)/(Параметры!$B$15+Параметры!$B$16))+(((Параметры!$B$15*Параметры!$B$13+Параметры!$B$16*Параметры!$B$14)/(Параметры!$B$15+Параметры!$B$16))-((Параметры!$B$15*Параметры!$B$11+Параметры!$B$16*Параметры!$B$12)/(Параметры!$B$15+Параметры!$B$16)))*MIN(1,(A27-1)/MAX(1,Параметры!$B$17-1))</f>
        <v/>
      </c>
      <c r="D27" s="26">
        <f>C27*(Параметры!$B$15+Параметры!$B$16)*Параметры!$B$10*IF(AND(B27&gt;=6,B27&lt;=8),1-Параметры!$B$27,1)</f>
        <v/>
      </c>
      <c r="E27" s="26">
        <f>D27*Параметры!$B$19</f>
        <v/>
      </c>
      <c r="F27" s="26">
        <f>(Параметры!$B$20+Параметры!$B$21+Параметры!$B$22+Параметры!$B$23+Параметры!$B$25)+D27*Параметры!$B$24</f>
        <v/>
      </c>
      <c r="G27" s="26">
        <f>D27-E27-F27</f>
        <v/>
      </c>
      <c r="H27" s="26">
        <f>H26+G27</f>
        <v/>
      </c>
      <c r="I27" s="26">
        <f>H27-Инвестиции!$D$12</f>
        <v/>
      </c>
    </row>
    <row r="28">
      <c r="A28" s="25" t="n">
        <v>24</v>
      </c>
      <c r="B28" s="25">
        <f>MOD(Параметры!$B$28+A28-2,12)+1</f>
        <v/>
      </c>
      <c r="C28" s="27">
        <f>((Параметры!$B$15*Параметры!$B$11+Параметры!$B$16*Параметры!$B$12)/(Параметры!$B$15+Параметры!$B$16))+(((Параметры!$B$15*Параметры!$B$13+Параметры!$B$16*Параметры!$B$14)/(Параметры!$B$15+Параметры!$B$16))-((Параметры!$B$15*Параметры!$B$11+Параметры!$B$16*Параметры!$B$12)/(Параметры!$B$15+Параметры!$B$16)))*MIN(1,(A28-1)/MAX(1,Параметры!$B$17-1))</f>
        <v/>
      </c>
      <c r="D28" s="26">
        <f>C28*(Параметры!$B$15+Параметры!$B$16)*Параметры!$B$10*IF(AND(B28&gt;=6,B28&lt;=8),1-Параметры!$B$27,1)</f>
        <v/>
      </c>
      <c r="E28" s="26">
        <f>D28*Параметры!$B$19</f>
        <v/>
      </c>
      <c r="F28" s="26">
        <f>(Параметры!$B$20+Параметры!$B$21+Параметры!$B$22+Параметры!$B$23+Параметры!$B$25)+D28*Параметры!$B$24</f>
        <v/>
      </c>
      <c r="G28" s="26">
        <f>D28-E28-F28</f>
        <v/>
      </c>
      <c r="H28" s="26">
        <f>H27+G28</f>
        <v/>
      </c>
      <c r="I28" s="26">
        <f>H28-Инвестиции!$D$12</f>
        <v/>
      </c>
    </row>
    <row r="30">
      <c r="A30" s="2" t="inlineStr">
        <is>
          <t>Окупаемость наступает в том месяце, где колонка «Возврат инвестиций» впервые становится положительной.</t>
        </is>
      </c>
    </row>
    <row r="31">
      <c r="A31" s="2" t="inlineStr">
        <is>
          <t>Сезонный спад применяется к календарным месяцам 6, 7 и 8. Величина спада задаётся в параметрах.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E16"/>
  <sheetViews>
    <sheetView showGridLines="0" workbookViewId="0">
      <selection activeCell="A1" sqref="A1"/>
    </sheetView>
  </sheetViews>
  <sheetFormatPr baseColWidth="8" defaultRowHeight="15"/>
  <cols>
    <col width="40" customWidth="1" min="1" max="1"/>
    <col width="20" customWidth="1" min="2" max="2"/>
    <col width="20" customWidth="1" min="3" max="3"/>
    <col width="20" customWidth="1" min="4" max="4"/>
    <col width="46" customWidth="1" min="5" max="5"/>
  </cols>
  <sheetData>
    <row r="1">
      <c r="A1" s="1" t="inlineStr">
        <is>
          <t>Три сценария</t>
        </is>
      </c>
    </row>
    <row r="2">
      <c r="A2" s="2" t="inlineStr">
        <is>
          <t>Жёлтые ячейки — параметры сценария. Структура расходов общая, с листа «Параметры».</t>
        </is>
      </c>
    </row>
    <row r="4" ht="30" customHeight="1">
      <c r="A4" s="13" t="inlineStr">
        <is>
          <t>Параметр</t>
        </is>
      </c>
      <c r="B4" s="13" t="inlineStr">
        <is>
          <t>Пессимистичный</t>
        </is>
      </c>
      <c r="C4" s="13" t="inlineStr">
        <is>
          <t>Реалистичный</t>
        </is>
      </c>
      <c r="D4" s="13" t="inlineStr">
        <is>
          <t>Оптимистичный</t>
        </is>
      </c>
      <c r="E4" s="13" t="inlineStr">
        <is>
          <t>Комментарий</t>
        </is>
      </c>
    </row>
    <row r="5">
      <c r="A5" s="6" t="inlineStr">
        <is>
          <t>Средний чек, ₽</t>
        </is>
      </c>
      <c r="B5" s="10" t="n">
        <v>290</v>
      </c>
      <c r="C5" s="10" t="n">
        <v>320</v>
      </c>
      <c r="D5" s="10" t="n">
        <v>360</v>
      </c>
      <c r="E5" s="2" t="inlineStr">
        <is>
          <t>Значения из статьи</t>
        </is>
      </c>
    </row>
    <row r="6">
      <c r="A6" s="6" t="inlineStr">
        <is>
          <t>Чеков в день</t>
        </is>
      </c>
      <c r="B6" s="11" t="n">
        <v>55</v>
      </c>
      <c r="C6" s="11" t="n">
        <v>83</v>
      </c>
      <c r="D6" s="11" t="n">
        <v>95</v>
      </c>
      <c r="E6" s="2" t="inlineStr">
        <is>
          <t>Значения из статьи</t>
        </is>
      </c>
    </row>
    <row r="7">
      <c r="A7" s="6" t="inlineStr">
        <is>
          <t>Выручка в месяц, ₽</t>
        </is>
      </c>
      <c r="B7" s="14">
        <f>B5*B6*(Параметры!$B$15+Параметры!$B$16)</f>
        <v/>
      </c>
      <c r="C7" s="14">
        <f>C5*C6*(Параметры!$B$15+Параметры!$B$16)</f>
        <v/>
      </c>
      <c r="D7" s="14">
        <f>D5*D6*(Параметры!$B$15+Параметры!$B$16)</f>
        <v/>
      </c>
      <c r="E7" s="2" t="inlineStr">
        <is>
          <t>Чек × чеков в день × дней в месяце</t>
        </is>
      </c>
    </row>
    <row r="8">
      <c r="A8" s="6" t="inlineStr">
        <is>
          <t>Сырьё, ₽</t>
        </is>
      </c>
      <c r="B8" s="14">
        <f>B7*Параметры!$B$19</f>
        <v/>
      </c>
      <c r="C8" s="14">
        <f>C7*Параметры!$B$19</f>
        <v/>
      </c>
      <c r="D8" s="14">
        <f>D7*Параметры!$B$19</f>
        <v/>
      </c>
    </row>
    <row r="9">
      <c r="A9" s="6" t="inlineStr">
        <is>
          <t>Постоянные расходы, ₽</t>
        </is>
      </c>
      <c r="B9" s="20">
        <f>Расходы!$B$14</f>
        <v/>
      </c>
      <c r="C9" s="20">
        <f>Расходы!$B$14</f>
        <v/>
      </c>
      <c r="D9" s="20">
        <f>Расходы!$B$14</f>
        <v/>
      </c>
      <c r="E9" s="2" t="inlineStr">
        <is>
          <t>Одинаковы во всех трёх сценариях</t>
        </is>
      </c>
    </row>
    <row r="10">
      <c r="A10" s="3" t="inlineStr">
        <is>
          <t>Чистая прибыль, ₽/мес</t>
        </is>
      </c>
      <c r="B10" s="15">
        <f>B7-B8-B9</f>
        <v/>
      </c>
      <c r="C10" s="15">
        <f>C7-C8-C9</f>
        <v/>
      </c>
      <c r="D10" s="15">
        <f>D7-D8-D9</f>
        <v/>
      </c>
    </row>
    <row r="11">
      <c r="A11" s="3" t="inlineStr">
        <is>
          <t>Срок окупаемости, мес.</t>
        </is>
      </c>
      <c r="B11" s="24">
        <f>IF(B10&lt;=0,"не окупается",Инвестиции!$D$12/B10)</f>
        <v/>
      </c>
      <c r="C11" s="24">
        <f>IF(C10&lt;=0,"не окупается",Инвестиции!$D$12/C10)</f>
        <v/>
      </c>
      <c r="D11" s="24">
        <f>IF(D10&lt;=0,"не окупается",Инвестиции!$D$12/D10)</f>
        <v/>
      </c>
    </row>
    <row r="13">
      <c r="A13" s="2" t="inlineStr">
        <is>
          <t>Пессимистичный сценарий — граница, ниже которой проект становится нерентабельным.</t>
        </is>
      </c>
    </row>
    <row r="14">
      <c r="A14" s="2" t="inlineStr">
        <is>
          <t>Реалистичный — базовый для принятия решения. Окупаемость дольше 30 месяцев означает</t>
        </is>
      </c>
    </row>
    <row r="15">
      <c r="A15" s="2" t="inlineStr">
        <is>
          <t>проблему не в проекте, а в выбранной локации или формате.</t>
        </is>
      </c>
    </row>
    <row r="16">
      <c r="A16" s="2" t="inlineStr">
        <is>
          <t>Оптимистичный — для планирования второй точки.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62"/>
  <sheetViews>
    <sheetView showGridLines="0" workbookViewId="0">
      <selection activeCell="A1" sqref="A1"/>
    </sheetView>
  </sheetViews>
  <sheetFormatPr baseColWidth="8" defaultRowHeight="15"/>
  <cols>
    <col width="6" customWidth="1" min="1" max="1"/>
    <col width="62" customWidth="1" min="2" max="2"/>
    <col width="18" customWidth="1" min="3" max="3"/>
    <col width="40" customWidth="1" min="4" max="4"/>
  </cols>
  <sheetData>
    <row r="1">
      <c r="A1" s="1" t="inlineStr">
        <is>
          <t>Чек-лист запуска кофейни: 47 пунктов</t>
        </is>
      </c>
    </row>
    <row r="2">
      <c r="A2" s="2" t="inlineStr">
        <is>
          <t>Пишите «да» в колонке «Готово». Источник — чек-лист готовности кофейни на horecaexperts.ru</t>
        </is>
      </c>
    </row>
    <row r="4" ht="30" customHeight="1">
      <c r="A4" s="13" t="inlineStr">
        <is>
          <t>№</t>
        </is>
      </c>
      <c r="B4" s="13" t="inlineStr">
        <is>
          <t>Пункт</t>
        </is>
      </c>
      <c r="C4" s="13" t="inlineStr">
        <is>
          <t>Готово</t>
        </is>
      </c>
      <c r="D4" s="13" t="inlineStr">
        <is>
          <t>Комментарий</t>
        </is>
      </c>
    </row>
    <row r="5">
      <c r="A5" s="9" t="inlineStr"/>
      <c r="B5" s="8" t="inlineStr">
        <is>
          <t>Юридическое оформление</t>
        </is>
      </c>
      <c r="C5" s="9" t="inlineStr"/>
      <c r="D5" s="9" t="inlineStr"/>
    </row>
    <row r="6">
      <c r="A6" s="25" t="n">
        <v>1</v>
      </c>
      <c r="B6" s="6" t="inlineStr">
        <is>
          <t>Выбрана форма собственности</t>
        </is>
      </c>
      <c r="C6" s="28" t="inlineStr"/>
    </row>
    <row r="7">
      <c r="A7" s="25" t="n">
        <v>2</v>
      </c>
      <c r="B7" s="6" t="inlineStr">
        <is>
          <t>Зарегистрирован ИП или ООО</t>
        </is>
      </c>
      <c r="C7" s="28" t="inlineStr"/>
    </row>
    <row r="8">
      <c r="A8" s="25" t="n">
        <v>3</v>
      </c>
      <c r="B8" s="6" t="inlineStr">
        <is>
          <t>Указаны правильные ОКВЭД</t>
        </is>
      </c>
      <c r="C8" s="28" t="inlineStr"/>
    </row>
    <row r="9">
      <c r="A9" s="25" t="n">
        <v>4</v>
      </c>
      <c r="B9" s="6" t="inlineStr">
        <is>
          <t>Выбран налоговый режим</t>
        </is>
      </c>
      <c r="C9" s="28" t="inlineStr"/>
    </row>
    <row r="10">
      <c r="A10" s="25" t="n">
        <v>5</v>
      </c>
      <c r="B10" s="6" t="inlineStr">
        <is>
          <t>Открыт расчётный счёт</t>
        </is>
      </c>
      <c r="C10" s="28" t="inlineStr"/>
    </row>
    <row r="11">
      <c r="A11" s="25" t="n">
        <v>6</v>
      </c>
      <c r="B11" s="6" t="inlineStr">
        <is>
          <t>Подключены эквайринг и онлайн-касса</t>
        </is>
      </c>
      <c r="C11" s="28" t="inlineStr"/>
    </row>
    <row r="12">
      <c r="A12" s="25" t="n">
        <v>7</v>
      </c>
      <c r="B12" s="6" t="inlineStr">
        <is>
          <t>Решён вопрос с бухгалтерией</t>
        </is>
      </c>
      <c r="C12" s="28" t="inlineStr"/>
    </row>
    <row r="13">
      <c r="A13" s="9" t="inlineStr"/>
      <c r="B13" s="8" t="inlineStr">
        <is>
          <t>Помещение</t>
        </is>
      </c>
      <c r="C13" s="9" t="inlineStr"/>
      <c r="D13" s="9" t="inlineStr"/>
    </row>
    <row r="14">
      <c r="A14" s="25" t="n">
        <v>8</v>
      </c>
      <c r="B14" s="6" t="inlineStr">
        <is>
          <t>Помещение соответствует назначению</t>
        </is>
      </c>
      <c r="C14" s="28" t="inlineStr"/>
    </row>
    <row r="15">
      <c r="A15" s="25" t="n">
        <v>9</v>
      </c>
      <c r="B15" s="6" t="inlineStr">
        <is>
          <t>Есть отдельный вход и запасной выход</t>
        </is>
      </c>
      <c r="C15" s="28" t="inlineStr"/>
    </row>
    <row r="16">
      <c r="A16" s="25" t="n">
        <v>10</v>
      </c>
      <c r="B16" s="6" t="inlineStr">
        <is>
          <t>Мощности электричества хватает</t>
        </is>
      </c>
      <c r="C16" s="28" t="inlineStr"/>
    </row>
    <row r="17">
      <c r="A17" s="25" t="n">
        <v>11</v>
      </c>
      <c r="B17" s="6" t="inlineStr">
        <is>
          <t>Подведена холодная и горячая вода</t>
        </is>
      </c>
      <c r="C17" s="28" t="inlineStr"/>
    </row>
    <row r="18">
      <c r="A18" s="25" t="n">
        <v>12</v>
      </c>
      <c r="B18" s="6" t="inlineStr">
        <is>
          <t>Есть канализация в рабочей зоне</t>
        </is>
      </c>
      <c r="C18" s="28" t="inlineStr"/>
    </row>
    <row r="19">
      <c r="A19" s="25" t="n">
        <v>13</v>
      </c>
      <c r="B19" s="6" t="inlineStr">
        <is>
          <t>Вентиляция автономна от зала</t>
        </is>
      </c>
      <c r="C19" s="28" t="inlineStr"/>
    </row>
    <row r="20">
      <c r="A20" s="25" t="n">
        <v>14</v>
      </c>
      <c r="B20" s="6" t="inlineStr">
        <is>
          <t>Договор аренды подписан с правом общепита</t>
        </is>
      </c>
      <c r="C20" s="28" t="inlineStr"/>
    </row>
    <row r="21">
      <c r="A21" s="25" t="n">
        <v>15</v>
      </c>
      <c r="B21" s="6" t="inlineStr">
        <is>
          <t>Ремонт завершён с подписанными актами</t>
        </is>
      </c>
      <c r="C21" s="28" t="inlineStr"/>
    </row>
    <row r="22">
      <c r="A22" s="9" t="inlineStr"/>
      <c r="B22" s="8" t="inlineStr">
        <is>
          <t>Разрешения и договоры</t>
        </is>
      </c>
      <c r="C22" s="9" t="inlineStr"/>
      <c r="D22" s="9" t="inlineStr"/>
    </row>
    <row r="23">
      <c r="A23" s="25" t="n">
        <v>16</v>
      </c>
      <c r="B23" s="6" t="inlineStr">
        <is>
          <t>Уведомление Роспотребнадзора о начале деятельности</t>
        </is>
      </c>
      <c r="C23" s="28" t="inlineStr"/>
    </row>
    <row r="24">
      <c r="A24" s="25" t="n">
        <v>17</v>
      </c>
      <c r="B24" s="6" t="inlineStr">
        <is>
          <t>Получено заключение пожарной инспекции</t>
        </is>
      </c>
      <c r="C24" s="28" t="inlineStr"/>
    </row>
    <row r="25">
      <c r="A25" s="25" t="n">
        <v>18</v>
      </c>
      <c r="B25" s="6" t="inlineStr">
        <is>
          <t>Договор на вывоз ТБО</t>
        </is>
      </c>
      <c r="C25" s="28" t="inlineStr"/>
    </row>
    <row r="26">
      <c r="A26" s="25" t="n">
        <v>19</v>
      </c>
      <c r="B26" s="6" t="inlineStr">
        <is>
          <t>Договор на дезинсекцию и дератизацию</t>
        </is>
      </c>
      <c r="C26" s="28" t="inlineStr"/>
    </row>
    <row r="27">
      <c r="A27" s="25" t="n">
        <v>20</v>
      </c>
      <c r="B27" s="6" t="inlineStr">
        <is>
          <t>Договор на медосмотры персонала</t>
        </is>
      </c>
      <c r="C27" s="28" t="inlineStr"/>
    </row>
    <row r="28">
      <c r="A28" s="25" t="n">
        <v>21</v>
      </c>
      <c r="B28" s="6" t="inlineStr">
        <is>
          <t>Настроена программа производственного контроля</t>
        </is>
      </c>
      <c r="C28" s="28" t="inlineStr"/>
    </row>
    <row r="29">
      <c r="A29" s="25" t="n">
        <v>22</v>
      </c>
      <c r="B29" s="6" t="inlineStr">
        <is>
          <t>Заведены санитарные журналы</t>
        </is>
      </c>
      <c r="C29" s="28" t="inlineStr"/>
    </row>
    <row r="30">
      <c r="A30" s="25" t="n">
        <v>23</v>
      </c>
      <c r="B30" s="6" t="inlineStr">
        <is>
          <t>Оформлен уголок потребителя</t>
        </is>
      </c>
      <c r="C30" s="28" t="inlineStr"/>
    </row>
    <row r="31">
      <c r="A31" s="9" t="inlineStr"/>
      <c r="B31" s="8" t="inlineStr">
        <is>
          <t>Оборудование</t>
        </is>
      </c>
      <c r="C31" s="9" t="inlineStr"/>
      <c r="D31" s="9" t="inlineStr"/>
    </row>
    <row r="32">
      <c r="A32" s="25" t="n">
        <v>24</v>
      </c>
      <c r="B32" s="6" t="inlineStr">
        <is>
          <t>Кофемашина профессиональная</t>
        </is>
      </c>
      <c r="C32" s="28" t="inlineStr"/>
    </row>
    <row r="33">
      <c r="A33" s="25" t="n">
        <v>25</v>
      </c>
      <c r="B33" s="6" t="inlineStr">
        <is>
          <t>Кофемолки, минимум две</t>
        </is>
      </c>
      <c r="C33" s="28" t="inlineStr"/>
    </row>
    <row r="34">
      <c r="A34" s="25" t="n">
        <v>26</v>
      </c>
      <c r="B34" s="6" t="inlineStr">
        <is>
          <t>Водоподготовка: фильтр и смягчитель</t>
        </is>
      </c>
      <c r="C34" s="28" t="inlineStr"/>
    </row>
    <row r="35">
      <c r="A35" s="25" t="n">
        <v>27</v>
      </c>
      <c r="B35" s="6" t="inlineStr">
        <is>
          <t>Холодильники с термометрами</t>
        </is>
      </c>
      <c r="C35" s="28" t="inlineStr"/>
    </row>
    <row r="36">
      <c r="A36" s="25" t="n">
        <v>28</v>
      </c>
      <c r="B36" s="6" t="inlineStr">
        <is>
          <t>Моечные ванны, минимум три секции</t>
        </is>
      </c>
      <c r="C36" s="28" t="inlineStr"/>
    </row>
    <row r="37">
      <c r="A37" s="25" t="n">
        <v>29</v>
      </c>
      <c r="B37" s="6" t="inlineStr">
        <is>
          <t>POS-терминал с ПО для общепита</t>
        </is>
      </c>
      <c r="C37" s="28" t="inlineStr"/>
    </row>
    <row r="38">
      <c r="A38" s="25" t="n">
        <v>30</v>
      </c>
      <c r="B38" s="6" t="inlineStr">
        <is>
          <t>Все приборы прошли тестовый запуск</t>
        </is>
      </c>
      <c r="C38" s="28" t="inlineStr"/>
    </row>
    <row r="39">
      <c r="A39" s="9" t="inlineStr"/>
      <c r="B39" s="8" t="inlineStr">
        <is>
          <t>Продукт и меню</t>
        </is>
      </c>
      <c r="C39" s="9" t="inlineStr"/>
      <c r="D39" s="9" t="inlineStr"/>
    </row>
    <row r="40">
      <c r="A40" s="25" t="n">
        <v>31</v>
      </c>
      <c r="B40" s="6" t="inlineStr">
        <is>
          <t>Финальное меню утверждено</t>
        </is>
      </c>
      <c r="C40" s="28" t="inlineStr"/>
    </row>
    <row r="41">
      <c r="A41" s="25" t="n">
        <v>32</v>
      </c>
      <c r="B41" s="6" t="inlineStr">
        <is>
          <t>Техкарты на каждую позицию</t>
        </is>
      </c>
      <c r="C41" s="28" t="inlineStr"/>
    </row>
    <row r="42">
      <c r="A42" s="25" t="n">
        <v>33</v>
      </c>
      <c r="B42" s="6" t="inlineStr">
        <is>
          <t>Фудкост по каждой позиции посчитан</t>
        </is>
      </c>
      <c r="C42" s="28" t="inlineStr"/>
    </row>
    <row r="43">
      <c r="A43" s="25" t="n">
        <v>34</v>
      </c>
      <c r="B43" s="6" t="inlineStr">
        <is>
          <t>Заключены договоры с поставщиками</t>
        </is>
      </c>
      <c r="C43" s="28" t="inlineStr"/>
    </row>
    <row r="44">
      <c r="A44" s="25" t="n">
        <v>35</v>
      </c>
      <c r="B44" s="6" t="inlineStr">
        <is>
          <t>Меню протестировано</t>
        </is>
      </c>
      <c r="C44" s="28" t="inlineStr"/>
    </row>
    <row r="45">
      <c r="A45" s="25" t="n">
        <v>36</v>
      </c>
      <c r="B45" s="6" t="inlineStr">
        <is>
          <t>Готовы сезонные предложения</t>
        </is>
      </c>
      <c r="C45" s="28" t="inlineStr"/>
    </row>
    <row r="46">
      <c r="A46" s="9" t="inlineStr"/>
      <c r="B46" s="8" t="inlineStr">
        <is>
          <t>Команда</t>
        </is>
      </c>
      <c r="C46" s="9" t="inlineStr"/>
      <c r="D46" s="9" t="inlineStr"/>
    </row>
    <row r="47">
      <c r="A47" s="25" t="n">
        <v>37</v>
      </c>
      <c r="B47" s="6" t="inlineStr">
        <is>
          <t>Штатное расписание составлено</t>
        </is>
      </c>
      <c r="C47" s="28" t="inlineStr"/>
    </row>
    <row r="48">
      <c r="A48" s="25" t="n">
        <v>38</v>
      </c>
      <c r="B48" s="6" t="inlineStr">
        <is>
          <t>Все сотрудники трудоустроены</t>
        </is>
      </c>
      <c r="C48" s="28" t="inlineStr"/>
    </row>
    <row r="49">
      <c r="A49" s="25" t="n">
        <v>39</v>
      </c>
      <c r="B49" s="6" t="inlineStr">
        <is>
          <t>Медицинские книжки у всех</t>
        </is>
      </c>
      <c r="C49" s="28" t="inlineStr"/>
    </row>
    <row r="50">
      <c r="A50" s="25" t="n">
        <v>40</v>
      </c>
      <c r="B50" s="6" t="inlineStr">
        <is>
          <t>Бариста обучены работе с оборудованием</t>
        </is>
      </c>
      <c r="C50" s="28" t="inlineStr"/>
    </row>
    <row r="51">
      <c r="A51" s="25" t="n">
        <v>41</v>
      </c>
      <c r="B51" s="6" t="inlineStr">
        <is>
          <t>Прописаны стандарты сервиса</t>
        </is>
      </c>
      <c r="C51" s="28" t="inlineStr"/>
    </row>
    <row r="52">
      <c r="A52" s="25" t="n">
        <v>42</v>
      </c>
      <c r="B52" s="6" t="inlineStr">
        <is>
          <t>График смен составлен на две недели вперёд</t>
        </is>
      </c>
      <c r="C52" s="28" t="inlineStr"/>
    </row>
    <row r="53">
      <c r="A53" s="9" t="inlineStr"/>
      <c r="B53" s="8" t="inlineStr">
        <is>
          <t>Маркетинг и первые дни</t>
        </is>
      </c>
      <c r="C53" s="9" t="inlineStr"/>
      <c r="D53" s="9" t="inlineStr"/>
    </row>
    <row r="54">
      <c r="A54" s="25" t="n">
        <v>43</v>
      </c>
      <c r="B54" s="6" t="inlineStr">
        <is>
          <t>Карточка на Яндекс Бизнес создана</t>
        </is>
      </c>
      <c r="C54" s="28" t="inlineStr"/>
    </row>
    <row r="55">
      <c r="A55" s="25" t="n">
        <v>44</v>
      </c>
      <c r="B55" s="6" t="inlineStr">
        <is>
          <t>Карточка на 2ГИС заполнена</t>
        </is>
      </c>
      <c r="C55" s="28" t="inlineStr"/>
    </row>
    <row r="56">
      <c r="A56" s="25" t="n">
        <v>45</v>
      </c>
      <c r="B56" s="6" t="inlineStr">
        <is>
          <t>Проведена фотосессия заведения и меню</t>
        </is>
      </c>
      <c r="C56" s="28" t="inlineStr"/>
    </row>
    <row r="57">
      <c r="A57" s="25" t="n">
        <v>46</v>
      </c>
      <c r="B57" s="6" t="inlineStr">
        <is>
          <t>День для друзей и семьи проведён</t>
        </is>
      </c>
      <c r="C57" s="28" t="inlineStr"/>
    </row>
    <row r="58">
      <c r="A58" s="25" t="n">
        <v>47</v>
      </c>
      <c r="B58" s="6" t="inlineStr">
        <is>
          <t>Настроен сбор отзывов</t>
        </is>
      </c>
      <c r="C58" s="28" t="inlineStr"/>
    </row>
    <row r="60">
      <c r="A60" s="3" t="inlineStr">
        <is>
          <t>Готово пунктов из 47:</t>
        </is>
      </c>
      <c r="C60" s="29">
        <f>COUNTIF(C6:C58,"да")</f>
        <v/>
      </c>
    </row>
    <row r="62">
      <c r="A62" s="2" t="inlineStr">
        <is>
          <t>Полная версия на 79 пунктов — в статье «Чек-лист проверки готовности кофейни» на horecaexperts.ru.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2026-08-01T18:41:47Z</dcterms:created>
  <dcterms:modified xmlns:dcterms="http://purl.org/dc/terms/" xmlns:xsi="http://www.w3.org/2001/XMLSchema-instance" xsi:type="dcterms:W3CDTF">2026-08-01T18:41:47Z</dcterms:modified>
</cp:coreProperties>
</file>